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15" windowHeight="4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</sheets>
  <definedNames>
    <definedName name="_xlnm.Print_Area" localSheetId="0">'2022'!$A$1:$Q$68</definedName>
  </definedNames>
  <calcPr fullCalcOnLoad="1"/>
</workbook>
</file>

<file path=xl/sharedStrings.xml><?xml version="1.0" encoding="utf-8"?>
<sst xmlns="http://schemas.openxmlformats.org/spreadsheetml/2006/main" count="818" uniqueCount="83">
  <si>
    <t>Lev. nr. &amp; navn</t>
  </si>
  <si>
    <t xml:space="preserve">  Januar</t>
  </si>
  <si>
    <t xml:space="preserve">   %</t>
  </si>
  <si>
    <t xml:space="preserve">  Februar</t>
  </si>
  <si>
    <t xml:space="preserve">  Marts</t>
  </si>
  <si>
    <t xml:space="preserve">  April</t>
  </si>
  <si>
    <t xml:space="preserve">  Maj</t>
  </si>
  <si>
    <t xml:space="preserve">  Juni</t>
  </si>
  <si>
    <t xml:space="preserve">  Juli</t>
  </si>
  <si>
    <t>Ialt incl. moms</t>
  </si>
  <si>
    <t>Ialt excl. moms</t>
  </si>
  <si>
    <t>Antal dage:</t>
  </si>
  <si>
    <t>Salg/dag incl. moms:</t>
  </si>
  <si>
    <t xml:space="preserve">  August</t>
  </si>
  <si>
    <t xml:space="preserve">  September</t>
  </si>
  <si>
    <t xml:space="preserve">  Oktober</t>
  </si>
  <si>
    <t xml:space="preserve">  November</t>
  </si>
  <si>
    <t xml:space="preserve">  December</t>
  </si>
  <si>
    <t xml:space="preserve">  Diverse</t>
  </si>
  <si>
    <t xml:space="preserve">   År til dato</t>
  </si>
  <si>
    <t>I alt  år  til  dato</t>
  </si>
  <si>
    <t>incl. moms:</t>
  </si>
  <si>
    <t>I alt solgt:</t>
  </si>
  <si>
    <t>Solgt pr. dag:</t>
  </si>
  <si>
    <t>Solgt én vare for hver:</t>
  </si>
  <si>
    <t xml:space="preserve">Gennemsnitlig pris pr. solgt vare: </t>
  </si>
  <si>
    <t>35.100 varer (mod  38.000  i 2009,  40.600  i 2008,  43.100  i 2007,  40.800  i 2006 og 34.900  i 2005)</t>
  </si>
  <si>
    <t>116 (mod  126  i 2009,  134  i  2008,  145  i  2007,  134  i  2006,  118  i  2005 og 116  i  2004)</t>
  </si>
  <si>
    <t>40,90 kr. (mod 40,50kr. i 2009, 38,20 i 2008, 36,20 i 2007, 35,10 i 2006, 34,90 i 2005 og 34,20 i 2004)</t>
  </si>
  <si>
    <t>3min.40sek. (mod 3min.20sek. i 2009, 3min.10sek. i 2008, 3min.00 sek. i 2007 og 3min.10sek. i 2006)</t>
  </si>
  <si>
    <t>Varegrupper</t>
  </si>
  <si>
    <t>10 Smykker</t>
  </si>
  <si>
    <t>15 Tasker</t>
  </si>
  <si>
    <t>20 Punge Etuier Æsker</t>
  </si>
  <si>
    <t>25 Beklædning</t>
  </si>
  <si>
    <t>30 Kurvevarer</t>
  </si>
  <si>
    <t>35 Måtter</t>
  </si>
  <si>
    <t>40 Hængekøjer Vugger</t>
  </si>
  <si>
    <t>45 Bolig Figurer Pynt</t>
  </si>
  <si>
    <t>50 Leg Spil</t>
  </si>
  <si>
    <t>50 CD'er</t>
  </si>
  <si>
    <t>60 Service</t>
  </si>
  <si>
    <t>65 Køkken Bad</t>
  </si>
  <si>
    <t>70 Kaffe</t>
  </si>
  <si>
    <t>75 Øvrige levnedsmidler</t>
  </si>
  <si>
    <t>80 Papir Kontor</t>
  </si>
  <si>
    <t>85 Kort</t>
  </si>
  <si>
    <t>90 Juleartikler</t>
  </si>
  <si>
    <t>95 Frimærker</t>
  </si>
  <si>
    <t>100 Diverse</t>
  </si>
  <si>
    <t>105 Bæreposer</t>
  </si>
  <si>
    <t>35 Måtter Tæpper</t>
  </si>
  <si>
    <t>Salgstal  fra  2012</t>
  </si>
  <si>
    <t>i 2012</t>
  </si>
  <si>
    <t>Fair Trade Butik Bazarens  salg  i  2014</t>
  </si>
  <si>
    <t>i 2013</t>
  </si>
  <si>
    <t>Salgstal  fra  2013</t>
  </si>
  <si>
    <t>Fair Trade Butik Bazarens  salg  i  2015</t>
  </si>
  <si>
    <t>Salgstal  fra  2014</t>
  </si>
  <si>
    <t>i 2014</t>
  </si>
  <si>
    <t>55 New Age</t>
  </si>
  <si>
    <t>i 2015</t>
  </si>
  <si>
    <t>Salgstal  fra  2015</t>
  </si>
  <si>
    <t>Fair Trade Butik Bazarens  salg  i  2017</t>
  </si>
  <si>
    <t>Salgstal  fra  2016</t>
  </si>
  <si>
    <t>i 2016</t>
  </si>
  <si>
    <t>Fair Trade Butik Bazarens  salg  i  2016</t>
  </si>
  <si>
    <t>Fair Trade Bazarens  salg  i  2018</t>
  </si>
  <si>
    <t>Salgstal  fra  2017</t>
  </si>
  <si>
    <t>i 2017</t>
  </si>
  <si>
    <t>Salgstal  fra  2018</t>
  </si>
  <si>
    <t>i 2018</t>
  </si>
  <si>
    <t>Fair Trade Bazarens  salg  i  2020</t>
  </si>
  <si>
    <t>Salgstal  fra  2019</t>
  </si>
  <si>
    <t>Fair Trade Bazarens  salg  i  2019</t>
  </si>
  <si>
    <t>i 2019</t>
  </si>
  <si>
    <t>Fair Trade Bazarens  salg  i  2021</t>
  </si>
  <si>
    <t>Salgstal  fra  2020</t>
  </si>
  <si>
    <t>i 2020</t>
  </si>
  <si>
    <t/>
  </si>
  <si>
    <t>Fair Trade Bazarens  salg  i  2022</t>
  </si>
  <si>
    <t>Salgstal  fra  2021</t>
  </si>
  <si>
    <t>i 2021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</si>
</sst>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1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/>
    </border>
    <border>
      <left>
        <color indexed="63"/>
      </left>
      <right>
        <color indexed="63"/>
      </right>
      <top style="double">
        <color indexed="63"/>
      </top>
      <bottom style="double"/>
    </border>
    <border>
      <left>
        <color indexed="63"/>
      </left>
      <right style="double">
        <color indexed="63"/>
      </right>
      <top style="double">
        <color indexed="63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/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180" fontId="0" fillId="33" borderId="14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2" xfId="0" applyNumberFormat="1" applyFill="1" applyBorder="1" applyAlignment="1">
      <alignment/>
    </xf>
    <xf numFmtId="180" fontId="0" fillId="33" borderId="13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4" fillId="33" borderId="12" xfId="0" applyNumberFormat="1" applyFont="1" applyFill="1" applyBorder="1" applyAlignment="1">
      <alignment/>
    </xf>
    <xf numFmtId="180" fontId="4" fillId="33" borderId="11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80" fontId="4" fillId="33" borderId="12" xfId="0" applyNumberFormat="1" applyFont="1" applyFill="1" applyBorder="1" applyAlignment="1">
      <alignment/>
    </xf>
    <xf numFmtId="180" fontId="4" fillId="33" borderId="13" xfId="0" applyNumberFormat="1" applyFont="1" applyFill="1" applyBorder="1" applyAlignment="1">
      <alignment/>
    </xf>
    <xf numFmtId="1" fontId="4" fillId="33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33" borderId="12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2" fillId="33" borderId="20" xfId="0" applyFont="1" applyFill="1" applyBorder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quotePrefix="1">
      <alignment/>
    </xf>
    <xf numFmtId="0" fontId="2" fillId="33" borderId="17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/>
    </xf>
  </cellXfs>
  <cellStyles count="4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Kontrollér celle" xfId="45"/>
    <cellStyle name="Neutral" xfId="46"/>
    <cellStyle name="Output" xfId="47"/>
    <cellStyle name="Overskrift 1" xfId="48"/>
    <cellStyle name="Overskrift 2" xfId="49"/>
    <cellStyle name="Overskrift 3" xfId="50"/>
    <cellStyle name="Overskrift 4" xfId="51"/>
    <cellStyle name="Sammenkædet celle" xfId="52"/>
    <cellStyle name="Titel" xfId="53"/>
    <cellStyle name="Total" xfId="54"/>
    <cellStyle name="Ugyldig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72" customWidth="1"/>
    <col min="4" max="4" width="4.21484375" style="43" customWidth="1"/>
    <col min="5" max="5" width="6.4453125" style="72" customWidth="1"/>
    <col min="6" max="6" width="4.3359375" style="43" customWidth="1"/>
    <col min="7" max="7" width="6.4453125" style="72" customWidth="1"/>
    <col min="8" max="8" width="4.3359375" style="43" customWidth="1"/>
    <col min="9" max="9" width="6.4453125" style="72" customWidth="1"/>
    <col min="10" max="10" width="4.3359375" style="43" customWidth="1"/>
    <col min="11" max="11" width="6.4453125" style="72" customWidth="1"/>
    <col min="12" max="12" width="4.3359375" style="43" customWidth="1"/>
    <col min="13" max="13" width="6.4453125" style="72" customWidth="1"/>
    <col min="14" max="14" width="4.3359375" style="43" customWidth="1"/>
    <col min="15" max="15" width="7.6640625" style="72" customWidth="1"/>
    <col min="16" max="16" width="4.3359375" style="43" customWidth="1"/>
    <col min="17" max="17" width="0.9921875" style="0" customWidth="1"/>
    <col min="19" max="19" width="8.88671875" style="58" customWidth="1"/>
  </cols>
  <sheetData>
    <row r="1" spans="1:17" ht="15">
      <c r="A1" s="20"/>
      <c r="B1" s="26"/>
      <c r="C1" s="66"/>
      <c r="D1" s="32"/>
      <c r="E1" s="66"/>
      <c r="F1" s="51" t="s">
        <v>80</v>
      </c>
      <c r="G1" s="66"/>
      <c r="H1" s="32"/>
      <c r="I1" s="66"/>
      <c r="J1" s="32"/>
      <c r="K1" s="66"/>
      <c r="L1" s="32"/>
      <c r="M1" s="66"/>
      <c r="N1" s="32"/>
      <c r="O1" s="66"/>
      <c r="P1" s="32"/>
      <c r="Q1" s="20"/>
    </row>
    <row r="2" spans="1:17" ht="9.75" customHeight="1" thickBot="1">
      <c r="A2" s="20"/>
      <c r="B2" s="26"/>
      <c r="C2" s="66"/>
      <c r="D2" s="32"/>
      <c r="E2" s="66"/>
      <c r="F2" s="32"/>
      <c r="G2" s="66"/>
      <c r="H2" s="32"/>
      <c r="I2" s="66"/>
      <c r="J2" s="32"/>
      <c r="K2" s="66"/>
      <c r="L2" s="32"/>
      <c r="M2" s="66"/>
      <c r="N2" s="32"/>
      <c r="O2" s="66"/>
      <c r="P2" s="32"/>
      <c r="Q2" s="20"/>
    </row>
    <row r="3" spans="1:17" ht="13.5" customHeight="1" thickBot="1" thickTop="1">
      <c r="A3" s="20"/>
      <c r="B3" s="27" t="s">
        <v>30</v>
      </c>
      <c r="C3" s="67" t="s">
        <v>1</v>
      </c>
      <c r="D3" s="47" t="s">
        <v>2</v>
      </c>
      <c r="E3" s="67" t="s">
        <v>3</v>
      </c>
      <c r="F3" s="47" t="s">
        <v>2</v>
      </c>
      <c r="G3" s="67" t="s">
        <v>4</v>
      </c>
      <c r="H3" s="47" t="s">
        <v>2</v>
      </c>
      <c r="I3" s="67" t="s">
        <v>5</v>
      </c>
      <c r="J3" s="47" t="s">
        <v>2</v>
      </c>
      <c r="K3" s="67" t="s">
        <v>6</v>
      </c>
      <c r="L3" s="47" t="s">
        <v>2</v>
      </c>
      <c r="M3" s="67" t="s">
        <v>7</v>
      </c>
      <c r="N3" s="47" t="s">
        <v>2</v>
      </c>
      <c r="O3" s="67" t="s">
        <v>8</v>
      </c>
      <c r="P3" s="47" t="s">
        <v>2</v>
      </c>
      <c r="Q3" s="18"/>
    </row>
    <row r="4" spans="1:18" ht="13.5" customHeight="1" thickTop="1">
      <c r="A4" s="20"/>
      <c r="B4" s="27" t="s">
        <v>31</v>
      </c>
      <c r="C4" s="68">
        <f>1.25*6250</f>
        <v>7812.5</v>
      </c>
      <c r="D4" s="34">
        <f aca="true" t="shared" si="0" ref="D4:D14">80*C4/C$26</f>
        <v>9.481674047960277</v>
      </c>
      <c r="E4" s="68">
        <f>1.25*7035.92</f>
        <v>8794.9</v>
      </c>
      <c r="F4" s="34">
        <f aca="true" t="shared" si="1" ref="F4:F14">80*E4/E$26</f>
        <v>8.265545534557564</v>
      </c>
      <c r="G4" s="68">
        <f>1.25*10815.76</f>
        <v>13519.7</v>
      </c>
      <c r="H4" s="34">
        <f aca="true" t="shared" si="2" ref="H4:H14">80*G4/G$26</f>
        <v>12.787059057756318</v>
      </c>
      <c r="I4" s="68">
        <f>1.25*9037.6</f>
        <v>11297</v>
      </c>
      <c r="J4" s="34">
        <f aca="true" t="shared" si="3" ref="J4:J14">80*I4/I$26</f>
        <v>9.968238757715852</v>
      </c>
      <c r="K4" s="68">
        <f>1.25*7530.96</f>
        <v>9413.7</v>
      </c>
      <c r="L4" s="34">
        <f aca="true" t="shared" si="4" ref="L4:L14">80*K4/K$26</f>
        <v>8.158307760172423</v>
      </c>
      <c r="M4" s="68">
        <f>1.25*9981.28</f>
        <v>12476.6</v>
      </c>
      <c r="N4" s="34">
        <f aca="true" t="shared" si="5" ref="N4:N14">80*M4/M$26</f>
        <v>8.56308865829662</v>
      </c>
      <c r="O4" s="68">
        <f>1.25*10298.88</f>
        <v>12873.599999999999</v>
      </c>
      <c r="P4" s="34">
        <f aca="true" t="shared" si="6" ref="P4:P14">80*O4/O$26</f>
        <v>7.3458257334998365</v>
      </c>
      <c r="Q4" s="18"/>
      <c r="R4" s="60"/>
    </row>
    <row r="5" spans="1:18" ht="13.5" customHeight="1">
      <c r="A5" s="20"/>
      <c r="B5" s="28" t="s">
        <v>32</v>
      </c>
      <c r="C5" s="69">
        <f>1.25*3466.68</f>
        <v>4333.349999999999</v>
      </c>
      <c r="D5" s="36">
        <f t="shared" si="0"/>
        <v>5.259188766173268</v>
      </c>
      <c r="E5" s="69">
        <f>1.25*3971.6</f>
        <v>4964.5</v>
      </c>
      <c r="F5" s="36">
        <f t="shared" si="1"/>
        <v>4.665692708991691</v>
      </c>
      <c r="G5" s="69">
        <f>1.25*4604.8</f>
        <v>5756</v>
      </c>
      <c r="H5" s="36">
        <f t="shared" si="2"/>
        <v>5.444078784029628</v>
      </c>
      <c r="I5" s="69">
        <f>1.25*5818.48</f>
        <v>7273.099999999999</v>
      </c>
      <c r="J5" s="36">
        <f t="shared" si="3"/>
        <v>6.4176327616839135</v>
      </c>
      <c r="K5" s="69">
        <f>1.25*8023.28</f>
        <v>10029.1</v>
      </c>
      <c r="L5" s="36">
        <f t="shared" si="4"/>
        <v>8.6916392446695</v>
      </c>
      <c r="M5" s="69">
        <f>1.25*6595.6</f>
        <v>8244.5</v>
      </c>
      <c r="N5" s="36">
        <f t="shared" si="5"/>
        <v>5.658463398948951</v>
      </c>
      <c r="O5" s="69">
        <f>1.25*9528.8</f>
        <v>11911</v>
      </c>
      <c r="P5" s="36">
        <f t="shared" si="6"/>
        <v>6.796554989413728</v>
      </c>
      <c r="Q5" s="18"/>
      <c r="R5" s="63" t="s">
        <v>79</v>
      </c>
    </row>
    <row r="6" spans="1:17" ht="13.5" customHeight="1">
      <c r="A6" s="20"/>
      <c r="B6" s="28" t="s">
        <v>33</v>
      </c>
      <c r="C6" s="69">
        <f>1.25*2463.4</f>
        <v>3079.25</v>
      </c>
      <c r="D6" s="36">
        <f t="shared" si="0"/>
        <v>3.7371449359592552</v>
      </c>
      <c r="E6" s="69">
        <f>1.25*3005.52</f>
        <v>3756.9</v>
      </c>
      <c r="F6" s="36">
        <f t="shared" si="1"/>
        <v>3.5307767022682817</v>
      </c>
      <c r="G6" s="69">
        <f>1.25*2208.08</f>
        <v>2760.1</v>
      </c>
      <c r="H6" s="36">
        <f t="shared" si="2"/>
        <v>2.6105284662613233</v>
      </c>
      <c r="I6" s="69">
        <f>1.25*1566.8</f>
        <v>1958.5</v>
      </c>
      <c r="J6" s="36">
        <f t="shared" si="3"/>
        <v>1.7281398253506681</v>
      </c>
      <c r="K6" s="69">
        <f>1.25*1716.8</f>
        <v>2146</v>
      </c>
      <c r="L6" s="36">
        <f t="shared" si="4"/>
        <v>1.8598137239693235</v>
      </c>
      <c r="M6" s="69">
        <f>1.25*1943.2</f>
        <v>2429</v>
      </c>
      <c r="N6" s="36">
        <f t="shared" si="5"/>
        <v>1.6671001996539514</v>
      </c>
      <c r="O6" s="69">
        <f>1.25*3023.6</f>
        <v>3779.5</v>
      </c>
      <c r="P6" s="36">
        <f t="shared" si="6"/>
        <v>2.1566266125840974</v>
      </c>
      <c r="Q6" s="18"/>
    </row>
    <row r="7" spans="1:17" ht="13.5" customHeight="1">
      <c r="A7" s="20"/>
      <c r="B7" s="28" t="s">
        <v>34</v>
      </c>
      <c r="C7" s="69">
        <f>1.25*5152.6</f>
        <v>6440.75</v>
      </c>
      <c r="D7" s="36">
        <f t="shared" si="0"/>
        <v>7.81684379192322</v>
      </c>
      <c r="E7" s="69">
        <f>1.25*5294.96</f>
        <v>6618.7</v>
      </c>
      <c r="F7" s="36">
        <f t="shared" si="1"/>
        <v>6.22032839822808</v>
      </c>
      <c r="G7" s="69">
        <f>1.25*4142.4</f>
        <v>5178</v>
      </c>
      <c r="H7" s="36">
        <f t="shared" si="2"/>
        <v>4.897400963117689</v>
      </c>
      <c r="I7" s="69">
        <f>1.25*4621.6</f>
        <v>5777</v>
      </c>
      <c r="J7" s="36">
        <f t="shared" si="3"/>
        <v>5.097505116696865</v>
      </c>
      <c r="K7" s="69">
        <f>1.25*5601.92</f>
        <v>7002.4</v>
      </c>
      <c r="L7" s="36">
        <f t="shared" si="4"/>
        <v>6.068573914595896</v>
      </c>
      <c r="M7" s="69">
        <f>1.25*5273.76</f>
        <v>6592.200000000001</v>
      </c>
      <c r="N7" s="36">
        <f t="shared" si="5"/>
        <v>4.524437190678789</v>
      </c>
      <c r="O7" s="69">
        <f>1.25*6945.84</f>
        <v>8682.3</v>
      </c>
      <c r="P7" s="36">
        <f t="shared" si="6"/>
        <v>4.954221256366956</v>
      </c>
      <c r="Q7" s="18"/>
    </row>
    <row r="8" spans="1:17" ht="13.5" customHeight="1">
      <c r="A8" s="20"/>
      <c r="B8" s="28" t="s">
        <v>35</v>
      </c>
      <c r="C8" s="69">
        <f>1.25*6934.96</f>
        <v>8668.7</v>
      </c>
      <c r="D8" s="36">
        <f t="shared" si="0"/>
        <v>10.520804840902816</v>
      </c>
      <c r="E8" s="69">
        <f>1.25*9349.92</f>
        <v>11687.4</v>
      </c>
      <c r="F8" s="36">
        <f t="shared" si="1"/>
        <v>10.983949434398124</v>
      </c>
      <c r="G8" s="69">
        <f>1.25*6679.92</f>
        <v>8349.9</v>
      </c>
      <c r="H8" s="36">
        <f t="shared" si="2"/>
        <v>7.897413731544301</v>
      </c>
      <c r="I8" s="69">
        <f>1.25*9046.8</f>
        <v>11308.5</v>
      </c>
      <c r="J8" s="36">
        <f t="shared" si="3"/>
        <v>9.978386119467975</v>
      </c>
      <c r="K8" s="69">
        <f>1.25*6641.28</f>
        <v>8301.6</v>
      </c>
      <c r="L8" s="36">
        <f t="shared" si="4"/>
        <v>7.1945151961340805</v>
      </c>
      <c r="M8" s="69">
        <f>1.25*7006.8</f>
        <v>8758.5</v>
      </c>
      <c r="N8" s="36">
        <f t="shared" si="5"/>
        <v>6.011237998628708</v>
      </c>
      <c r="O8" s="69">
        <f>1.25*7293.6</f>
        <v>9117</v>
      </c>
      <c r="P8" s="36">
        <f t="shared" si="6"/>
        <v>5.202266126982198</v>
      </c>
      <c r="Q8" s="18"/>
    </row>
    <row r="9" spans="1:17" ht="13.5" customHeight="1">
      <c r="A9" s="20"/>
      <c r="B9" s="28" t="s">
        <v>51</v>
      </c>
      <c r="C9" s="69">
        <f>1.25*2476.2</f>
        <v>3095.25</v>
      </c>
      <c r="D9" s="36">
        <f t="shared" si="0"/>
        <v>3.756563404409478</v>
      </c>
      <c r="E9" s="69">
        <f>1.25*6700</f>
        <v>8375</v>
      </c>
      <c r="F9" s="36">
        <f t="shared" si="1"/>
        <v>7.870918811120035</v>
      </c>
      <c r="G9" s="69">
        <f>1.25*3396.8</f>
        <v>4246</v>
      </c>
      <c r="H9" s="36">
        <f t="shared" si="2"/>
        <v>4.015906622131654</v>
      </c>
      <c r="I9" s="69">
        <f>1.25*2519.2</f>
        <v>3149</v>
      </c>
      <c r="J9" s="36">
        <f t="shared" si="3"/>
        <v>2.778612361516086</v>
      </c>
      <c r="K9" s="69">
        <f>1.25*3528.8</f>
        <v>4411</v>
      </c>
      <c r="L9" s="36">
        <f t="shared" si="4"/>
        <v>3.82275784549333</v>
      </c>
      <c r="M9" s="69">
        <f>1.25*1893.6</f>
        <v>2367</v>
      </c>
      <c r="N9" s="36">
        <f t="shared" si="5"/>
        <v>1.624547621482463</v>
      </c>
      <c r="O9" s="69">
        <f>1.25*6113.76</f>
        <v>7642.200000000001</v>
      </c>
      <c r="P9" s="36">
        <f t="shared" si="6"/>
        <v>4.360728111837595</v>
      </c>
      <c r="Q9" s="18"/>
    </row>
    <row r="10" spans="1:17" ht="13.5" customHeight="1">
      <c r="A10" s="20"/>
      <c r="B10" s="28" t="s">
        <v>37</v>
      </c>
      <c r="C10" s="69">
        <f>1.25*5121.6</f>
        <v>6402</v>
      </c>
      <c r="D10" s="36">
        <f t="shared" si="0"/>
        <v>7.7698146886453365</v>
      </c>
      <c r="E10" s="69">
        <f>1.25*6378</f>
        <v>7972.5</v>
      </c>
      <c r="F10" s="36">
        <f t="shared" si="1"/>
        <v>7.492644802585609</v>
      </c>
      <c r="G10" s="69">
        <f>1.25*6580.8</f>
        <v>8226</v>
      </c>
      <c r="H10" s="36">
        <f t="shared" si="2"/>
        <v>7.780227949518368</v>
      </c>
      <c r="I10" s="69">
        <f>1.25*7801.6</f>
        <v>9752</v>
      </c>
      <c r="J10" s="36">
        <f t="shared" si="3"/>
        <v>8.604962765800213</v>
      </c>
      <c r="K10" s="69">
        <f>1.25*12139.2</f>
        <v>15174</v>
      </c>
      <c r="L10" s="36">
        <f t="shared" si="4"/>
        <v>13.150425651216457</v>
      </c>
      <c r="M10" s="69">
        <f>1.25*22867.6</f>
        <v>28584.5</v>
      </c>
      <c r="N10" s="36">
        <f t="shared" si="5"/>
        <v>19.618454366821066</v>
      </c>
      <c r="O10" s="69">
        <f>1.25*22754.4</f>
        <v>28443</v>
      </c>
      <c r="P10" s="36">
        <f t="shared" si="6"/>
        <v>16.229906268482466</v>
      </c>
      <c r="Q10" s="18"/>
    </row>
    <row r="11" spans="1:17" ht="13.5" customHeight="1">
      <c r="A11" s="20"/>
      <c r="B11" s="28" t="s">
        <v>38</v>
      </c>
      <c r="C11" s="69">
        <f>1.25*9563.2</f>
        <v>11954</v>
      </c>
      <c r="D11" s="36">
        <f t="shared" si="0"/>
        <v>14.508023240872594</v>
      </c>
      <c r="E11" s="69">
        <f>1.25*12723.92</f>
        <v>15904.9</v>
      </c>
      <c r="F11" s="36">
        <f t="shared" si="1"/>
        <v>14.947603175997974</v>
      </c>
      <c r="G11" s="69">
        <f>1.25*16062.8</f>
        <v>20078.5</v>
      </c>
      <c r="H11" s="36">
        <f t="shared" si="2"/>
        <v>18.990433611038725</v>
      </c>
      <c r="I11" s="69">
        <f>1.25*15445.12</f>
        <v>19306.4</v>
      </c>
      <c r="J11" s="36">
        <f t="shared" si="3"/>
        <v>17.03556738532047</v>
      </c>
      <c r="K11" s="69">
        <f>1.25*14947.52</f>
        <v>18684.4</v>
      </c>
      <c r="L11" s="36">
        <f t="shared" si="4"/>
        <v>16.19268571487998</v>
      </c>
      <c r="M11" s="69">
        <f>1.25*25617.12</f>
        <v>32021.399999999998</v>
      </c>
      <c r="N11" s="36">
        <f t="shared" si="5"/>
        <v>21.9773084945241</v>
      </c>
      <c r="O11" s="69">
        <f>1.25*30606.32</f>
        <v>38257.9</v>
      </c>
      <c r="P11" s="36">
        <f t="shared" si="6"/>
        <v>21.830402244101375</v>
      </c>
      <c r="Q11" s="18"/>
    </row>
    <row r="12" spans="1:17" ht="13.5" customHeight="1">
      <c r="A12" s="20"/>
      <c r="B12" s="28" t="s">
        <v>39</v>
      </c>
      <c r="C12" s="69">
        <f>1.25*3278.4-C13</f>
        <v>3542</v>
      </c>
      <c r="D12" s="36">
        <f t="shared" si="0"/>
        <v>4.298763453168038</v>
      </c>
      <c r="E12" s="69">
        <f>1.25*3779.6-E13</f>
        <v>3747.1</v>
      </c>
      <c r="F12" s="36">
        <f t="shared" si="1"/>
        <v>3.5215665524952695</v>
      </c>
      <c r="G12" s="69">
        <f>3014*1.25-G13</f>
        <v>3200.5</v>
      </c>
      <c r="H12" s="36">
        <f t="shared" si="2"/>
        <v>3.0270629166585867</v>
      </c>
      <c r="I12" s="69">
        <f>4533.2*1.25-I13</f>
        <v>5102.5</v>
      </c>
      <c r="J12" s="36">
        <f t="shared" si="3"/>
        <v>4.502340290452787</v>
      </c>
      <c r="K12" s="69">
        <f>2322.8*1.25-K13</f>
        <v>2355.5</v>
      </c>
      <c r="L12" s="36">
        <f t="shared" si="4"/>
        <v>2.041375222185341</v>
      </c>
      <c r="M12" s="69">
        <f>3377.28*1.25-M13</f>
        <v>3826.6000000000004</v>
      </c>
      <c r="N12" s="36">
        <f t="shared" si="5"/>
        <v>2.6263176714680156</v>
      </c>
      <c r="O12" s="69">
        <f>1.25*6995.76-O13</f>
        <v>7007.200000000001</v>
      </c>
      <c r="P12" s="36">
        <f t="shared" si="6"/>
        <v>3.998389734012247</v>
      </c>
      <c r="Q12" s="18"/>
    </row>
    <row r="13" spans="1:17" ht="13.5" customHeight="1">
      <c r="A13" s="20"/>
      <c r="B13" s="28" t="s">
        <v>40</v>
      </c>
      <c r="C13" s="69">
        <f>1.25*444.8</f>
        <v>556</v>
      </c>
      <c r="D13" s="36">
        <f t="shared" si="0"/>
        <v>0.674791778645237</v>
      </c>
      <c r="E13" s="69">
        <f>1.25*781.92</f>
        <v>977.4</v>
      </c>
      <c r="F13" s="36">
        <f t="shared" si="1"/>
        <v>0.9185714681777578</v>
      </c>
      <c r="G13" s="69">
        <f>1.25*453.6</f>
        <v>567</v>
      </c>
      <c r="H13" s="36">
        <f t="shared" si="2"/>
        <v>0.5362739177457956</v>
      </c>
      <c r="I13" s="69">
        <f>1.25*451.2</f>
        <v>564</v>
      </c>
      <c r="J13" s="36">
        <f t="shared" si="3"/>
        <v>0.4976619154954183</v>
      </c>
      <c r="K13" s="69">
        <f>1.25*438.4</f>
        <v>548</v>
      </c>
      <c r="L13" s="36">
        <f t="shared" si="4"/>
        <v>0.47491981394929605</v>
      </c>
      <c r="M13" s="69">
        <f>1.25*316</f>
        <v>395</v>
      </c>
      <c r="N13" s="36">
        <f t="shared" si="5"/>
        <v>0.2711011028667397</v>
      </c>
      <c r="O13" s="69">
        <f>1.25*1390</f>
        <v>1737.5</v>
      </c>
      <c r="P13" s="36">
        <f t="shared" si="6"/>
        <v>0.9914376873567586</v>
      </c>
      <c r="Q13" s="18"/>
    </row>
    <row r="14" spans="1:17" ht="13.5" customHeight="1">
      <c r="A14" s="20"/>
      <c r="B14" s="28" t="s">
        <v>41</v>
      </c>
      <c r="C14" s="69">
        <f>1.25*4152.8</f>
        <v>5191</v>
      </c>
      <c r="D14" s="36">
        <f t="shared" si="0"/>
        <v>6.30007935781911</v>
      </c>
      <c r="E14" s="69">
        <f>1.25*4152.72</f>
        <v>5190.900000000001</v>
      </c>
      <c r="F14" s="36">
        <f t="shared" si="1"/>
        <v>4.878465964972298</v>
      </c>
      <c r="G14" s="69">
        <f>1.25*3716.8</f>
        <v>4646</v>
      </c>
      <c r="H14" s="36">
        <f t="shared" si="2"/>
        <v>4.394230373627806</v>
      </c>
      <c r="I14" s="69">
        <f>1.25*9998</f>
        <v>12497.5</v>
      </c>
      <c r="J14" s="36">
        <f t="shared" si="3"/>
        <v>11.027535086709204</v>
      </c>
      <c r="K14" s="69">
        <f>1.25*7663.04</f>
        <v>9578.8</v>
      </c>
      <c r="L14" s="36">
        <f t="shared" si="4"/>
        <v>8.301390353754593</v>
      </c>
      <c r="M14" s="69">
        <f>1.25*7044</f>
        <v>8805</v>
      </c>
      <c r="N14" s="36">
        <f t="shared" si="5"/>
        <v>6.043152432257324</v>
      </c>
      <c r="O14" s="69">
        <f>1.25*9066.88</f>
        <v>11333.599999999999</v>
      </c>
      <c r="P14" s="36">
        <f t="shared" si="6"/>
        <v>6.467083840821041</v>
      </c>
      <c r="Q14" s="18"/>
    </row>
    <row r="15" spans="1:17" ht="13.5" customHeight="1">
      <c r="A15" s="20"/>
      <c r="B15" s="28" t="s">
        <v>42</v>
      </c>
      <c r="C15" s="69">
        <f>1.25*2553.44</f>
        <v>3191.8</v>
      </c>
      <c r="D15" s="36">
        <f>100*C15/C$26</f>
        <v>4.8421771562047375</v>
      </c>
      <c r="E15" s="69">
        <f>1.25*4354.32</f>
        <v>5442.9</v>
      </c>
      <c r="F15" s="36">
        <f>100*E15/E$26</f>
        <v>6.394122984633618</v>
      </c>
      <c r="G15" s="69">
        <f>1.25*4413.28</f>
        <v>5516.599999999999</v>
      </c>
      <c r="H15" s="36">
        <f>100*G15/G$26</f>
        <v>6.5220650234489765</v>
      </c>
      <c r="I15" s="69">
        <f>1.25*3474.4</f>
        <v>4343</v>
      </c>
      <c r="J15" s="36">
        <f>100*I15/I$26</f>
        <v>4.7902165314641</v>
      </c>
      <c r="K15" s="69">
        <f>1.25*4386.4</f>
        <v>5483</v>
      </c>
      <c r="L15" s="36">
        <f>100*K15/K$26</f>
        <v>5.939747581852168</v>
      </c>
      <c r="M15" s="69">
        <f>1.25*4531.44</f>
        <v>5664.299999999999</v>
      </c>
      <c r="N15" s="36">
        <f>100*M15/M$26</f>
        <v>4.859487268886308</v>
      </c>
      <c r="O15" s="69">
        <f>1.25*7698.24</f>
        <v>9622.8</v>
      </c>
      <c r="P15" s="36">
        <f>100*O15/O$26</f>
        <v>6.863601854601882</v>
      </c>
      <c r="Q15" s="18"/>
    </row>
    <row r="16" spans="1:17" ht="13.5" customHeight="1">
      <c r="A16" s="20"/>
      <c r="B16" s="28" t="s">
        <v>43</v>
      </c>
      <c r="C16" s="69">
        <f>1.25*2157.84</f>
        <v>2697.3</v>
      </c>
      <c r="D16" s="36">
        <f aca="true" t="shared" si="7" ref="D16:D24">80*C16/C$26</f>
        <v>3.2735896844240964</v>
      </c>
      <c r="E16" s="69">
        <f>1.25*2281.2</f>
        <v>2851.5</v>
      </c>
      <c r="F16" s="36">
        <f aca="true" t="shared" si="8" ref="F16:F24">80*E16/E$26</f>
        <v>2.6798716405861227</v>
      </c>
      <c r="G16" s="69">
        <f>1.25*2702.88</f>
        <v>3378.6000000000004</v>
      </c>
      <c r="H16" s="36">
        <f aca="true" t="shared" si="9" ref="H16:H24">80*G16/G$26</f>
        <v>3.1955115670122485</v>
      </c>
      <c r="I16" s="69">
        <f>1.25*2898.4</f>
        <v>3623</v>
      </c>
      <c r="J16" s="36">
        <f aca="true" t="shared" si="10" ref="J16:J24">80*I16/I$26</f>
        <v>3.1968601415601077</v>
      </c>
      <c r="K16" s="69">
        <f>1.25*1996.88</f>
        <v>2496.1000000000004</v>
      </c>
      <c r="L16" s="36">
        <f aca="true" t="shared" si="11" ref="L16:L24">80*K16/K$26</f>
        <v>2.1632250868591933</v>
      </c>
      <c r="M16" s="69">
        <f>1.25*2690.72</f>
        <v>3363.3999999999996</v>
      </c>
      <c r="N16" s="36">
        <f aca="true" t="shared" si="12" ref="N16:N24">80*M16/M$26</f>
        <v>2.308408732612639</v>
      </c>
      <c r="O16" s="69">
        <f>1.25*2631.36</f>
        <v>3289.2000000000003</v>
      </c>
      <c r="P16" s="36">
        <f aca="true" t="shared" si="13" ref="P16:P24">80*O16/O$26</f>
        <v>1.8768557359734392</v>
      </c>
      <c r="Q16" s="18"/>
    </row>
    <row r="17" spans="1:17" ht="13.5" customHeight="1">
      <c r="A17" s="20"/>
      <c r="B17" s="28" t="s">
        <v>44</v>
      </c>
      <c r="C17" s="69">
        <f>1.25*3258.03</f>
        <v>4072.5375000000004</v>
      </c>
      <c r="D17" s="36">
        <f t="shared" si="7"/>
        <v>4.942652559756163</v>
      </c>
      <c r="E17" s="69">
        <f>1.25*4158.16</f>
        <v>5197.7</v>
      </c>
      <c r="F17" s="36">
        <f t="shared" si="8"/>
        <v>4.884856681141326</v>
      </c>
      <c r="G17" s="69">
        <f>1.25*4527.84</f>
        <v>5659.8</v>
      </c>
      <c r="H17" s="36">
        <f t="shared" si="9"/>
        <v>5.353091921794804</v>
      </c>
      <c r="I17" s="69">
        <f>1.25*4709.44</f>
        <v>5886.799999999999</v>
      </c>
      <c r="J17" s="36">
        <f t="shared" si="10"/>
        <v>5.194390361947568</v>
      </c>
      <c r="K17" s="69">
        <f>1.25*3506</f>
        <v>4382.5</v>
      </c>
      <c r="L17" s="36">
        <f t="shared" si="11"/>
        <v>3.7980585485999816</v>
      </c>
      <c r="M17" s="69">
        <f>1.25*5443.84</f>
        <v>6804.8</v>
      </c>
      <c r="N17" s="36">
        <f t="shared" si="12"/>
        <v>4.6703513538926344</v>
      </c>
      <c r="O17" s="69">
        <f>1.25*3402.4</f>
        <v>4253</v>
      </c>
      <c r="P17" s="36">
        <f t="shared" si="13"/>
        <v>2.426811214001896</v>
      </c>
      <c r="Q17" s="18"/>
    </row>
    <row r="18" spans="1:17" ht="13.5" customHeight="1">
      <c r="A18" s="20"/>
      <c r="B18" s="28" t="s">
        <v>45</v>
      </c>
      <c r="C18" s="69">
        <f>1.25*2359.84</f>
        <v>2949.8</v>
      </c>
      <c r="D18" s="36">
        <f t="shared" si="7"/>
        <v>3.580037389654173</v>
      </c>
      <c r="E18" s="69">
        <f>1.25*1844.56</f>
        <v>2305.7</v>
      </c>
      <c r="F18" s="36">
        <f t="shared" si="8"/>
        <v>2.1669226869014286</v>
      </c>
      <c r="G18" s="69">
        <f>1.25*1404.8</f>
        <v>1756</v>
      </c>
      <c r="H18" s="36">
        <f t="shared" si="9"/>
        <v>1.6608412690681076</v>
      </c>
      <c r="I18" s="69">
        <f>1.25*1217.6</f>
        <v>1522</v>
      </c>
      <c r="J18" s="36">
        <f t="shared" si="10"/>
        <v>1.3429812684113949</v>
      </c>
      <c r="K18" s="69">
        <f>1.25*1246.4</f>
        <v>1558</v>
      </c>
      <c r="L18" s="36">
        <f t="shared" si="11"/>
        <v>1.350228230169714</v>
      </c>
      <c r="M18" s="69">
        <f>1.25*1341.44</f>
        <v>1676.8000000000002</v>
      </c>
      <c r="N18" s="36">
        <f t="shared" si="12"/>
        <v>1.15084133996696</v>
      </c>
      <c r="O18" s="69">
        <f>1.25*2438</f>
        <v>3047.5</v>
      </c>
      <c r="P18" s="36">
        <f t="shared" si="13"/>
        <v>1.738938907752358</v>
      </c>
      <c r="Q18" s="18"/>
    </row>
    <row r="19" spans="1:17" ht="13.5" customHeight="1">
      <c r="A19" s="20"/>
      <c r="B19" s="28" t="s">
        <v>46</v>
      </c>
      <c r="C19" s="69">
        <f>1.25*1622.4</f>
        <v>2028</v>
      </c>
      <c r="D19" s="36">
        <f t="shared" si="7"/>
        <v>2.4612908760657204</v>
      </c>
      <c r="E19" s="69">
        <f>1.25*2063.04</f>
        <v>2578.8</v>
      </c>
      <c r="F19" s="36">
        <f t="shared" si="8"/>
        <v>2.423585125984041</v>
      </c>
      <c r="G19" s="69">
        <f>1.25*2548.64</f>
        <v>3185.7999999999997</v>
      </c>
      <c r="H19" s="36">
        <f t="shared" si="9"/>
        <v>3.013159518791103</v>
      </c>
      <c r="I19" s="69">
        <f>1.25*1829.44</f>
        <v>2286.8</v>
      </c>
      <c r="J19" s="36">
        <f t="shared" si="10"/>
        <v>2.017824943891707</v>
      </c>
      <c r="K19" s="69">
        <f>1.25*2056.96</f>
        <v>2571.2</v>
      </c>
      <c r="L19" s="36">
        <f t="shared" si="11"/>
        <v>2.228309900778157</v>
      </c>
      <c r="M19" s="69">
        <f>1.25*2287.92</f>
        <v>2859.9</v>
      </c>
      <c r="N19" s="36">
        <f t="shared" si="12"/>
        <v>1.9628406179457947</v>
      </c>
      <c r="O19" s="69">
        <f>1.25*2694.72</f>
        <v>3368.3999999999996</v>
      </c>
      <c r="P19" s="36">
        <f t="shared" si="13"/>
        <v>1.9220481761683486</v>
      </c>
      <c r="Q19" s="18"/>
    </row>
    <row r="20" spans="1:17" ht="13.5" customHeight="1">
      <c r="A20" s="20"/>
      <c r="B20" s="28" t="s">
        <v>47</v>
      </c>
      <c r="C20" s="69">
        <f>1.25*117.6</f>
        <v>147</v>
      </c>
      <c r="D20" s="36">
        <f t="shared" si="7"/>
        <v>0.17840717888642058</v>
      </c>
      <c r="E20" s="69">
        <f>1.25*639.44</f>
        <v>799.3000000000001</v>
      </c>
      <c r="F20" s="36">
        <f t="shared" si="8"/>
        <v>0.7511910932212829</v>
      </c>
      <c r="G20" s="69">
        <f>1.25*0</f>
        <v>0</v>
      </c>
      <c r="H20" s="36">
        <f t="shared" si="9"/>
        <v>0</v>
      </c>
      <c r="I20" s="69">
        <f>1.25*138.8</f>
        <v>173.5</v>
      </c>
      <c r="J20" s="36">
        <f t="shared" si="10"/>
        <v>0.15309280556463667</v>
      </c>
      <c r="K20" s="69">
        <f>1.25*0</f>
        <v>0</v>
      </c>
      <c r="L20" s="36">
        <f t="shared" si="11"/>
        <v>0</v>
      </c>
      <c r="M20" s="69">
        <f>1.25*0</f>
        <v>0</v>
      </c>
      <c r="N20" s="36">
        <f t="shared" si="12"/>
        <v>0</v>
      </c>
      <c r="O20" s="69">
        <f>1.25*0</f>
        <v>0</v>
      </c>
      <c r="P20" s="36">
        <f t="shared" si="13"/>
        <v>0</v>
      </c>
      <c r="Q20" s="18"/>
    </row>
    <row r="21" spans="1:17" ht="13.5" customHeight="1">
      <c r="A21" s="20"/>
      <c r="B21" s="28" t="s">
        <v>48</v>
      </c>
      <c r="C21" s="69">
        <v>367</v>
      </c>
      <c r="D21" s="36">
        <f t="shared" si="7"/>
        <v>0.44541112007698197</v>
      </c>
      <c r="E21" s="69">
        <v>231</v>
      </c>
      <c r="F21" s="36">
        <f t="shared" si="8"/>
        <v>0.21709638750671378</v>
      </c>
      <c r="G21" s="69">
        <v>169</v>
      </c>
      <c r="H21" s="36">
        <f t="shared" si="9"/>
        <v>0.15984178500712426</v>
      </c>
      <c r="I21" s="69">
        <v>189</v>
      </c>
      <c r="J21" s="36">
        <f t="shared" si="10"/>
        <v>0.16676968444793275</v>
      </c>
      <c r="K21" s="69">
        <v>118</v>
      </c>
      <c r="L21" s="36">
        <f t="shared" si="11"/>
        <v>0.10226375555842507</v>
      </c>
      <c r="M21" s="69">
        <v>496</v>
      </c>
      <c r="N21" s="36">
        <f t="shared" si="12"/>
        <v>0.3404206253719061</v>
      </c>
      <c r="O21" s="69">
        <v>231</v>
      </c>
      <c r="P21" s="36">
        <f t="shared" si="13"/>
        <v>0.13181128390181943</v>
      </c>
      <c r="Q21" s="18"/>
    </row>
    <row r="22" spans="1:17" ht="13.5" customHeight="1">
      <c r="A22" s="20"/>
      <c r="B22" s="28" t="s">
        <v>60</v>
      </c>
      <c r="C22" s="69">
        <f>1.25*2327.36</f>
        <v>2909.2000000000003</v>
      </c>
      <c r="D22" s="36">
        <f t="shared" si="7"/>
        <v>3.530763025961733</v>
      </c>
      <c r="E22" s="69">
        <f>1.25*4356.48</f>
        <v>5445.599999999999</v>
      </c>
      <c r="F22" s="36">
        <f t="shared" si="8"/>
        <v>5.117835877950478</v>
      </c>
      <c r="G22" s="69">
        <f>1.25*3977.44</f>
        <v>4971.8</v>
      </c>
      <c r="H22" s="36">
        <f t="shared" si="9"/>
        <v>4.702375069221422</v>
      </c>
      <c r="I22" s="69">
        <f>1.25*1912</f>
        <v>2390</v>
      </c>
      <c r="J22" s="36">
        <f t="shared" si="10"/>
        <v>2.108886485875975</v>
      </c>
      <c r="K22" s="69">
        <f>1.25*6072</f>
        <v>7590</v>
      </c>
      <c r="L22" s="36">
        <f t="shared" si="11"/>
        <v>6.577812751597002</v>
      </c>
      <c r="M22" s="69">
        <f>1.25*5045.68</f>
        <v>6307.1</v>
      </c>
      <c r="N22" s="36">
        <f t="shared" si="12"/>
        <v>4.328763964280542</v>
      </c>
      <c r="O22" s="69">
        <f>1.25*4674.08</f>
        <v>5842.6</v>
      </c>
      <c r="P22" s="36">
        <f t="shared" si="13"/>
        <v>3.333855442964373</v>
      </c>
      <c r="Q22" s="18"/>
    </row>
    <row r="23" spans="1:17" ht="13.5" customHeight="1">
      <c r="A23" s="20"/>
      <c r="B23" s="28" t="s">
        <v>49</v>
      </c>
      <c r="C23" s="69">
        <f>1.25*2234.4</f>
        <v>2793</v>
      </c>
      <c r="D23" s="36">
        <f t="shared" si="7"/>
        <v>3.3897363988419906</v>
      </c>
      <c r="E23" s="69">
        <f>1.25*2641.52</f>
        <v>3301.9</v>
      </c>
      <c r="F23" s="36">
        <f t="shared" si="8"/>
        <v>3.1031626056641484</v>
      </c>
      <c r="G23" s="69">
        <f>1.25*3537.6</f>
        <v>4422</v>
      </c>
      <c r="H23" s="36">
        <f t="shared" si="9"/>
        <v>4.182369072789961</v>
      </c>
      <c r="I23" s="69">
        <f>1.25*3796.08</f>
        <v>4745.1</v>
      </c>
      <c r="J23" s="36">
        <f t="shared" si="10"/>
        <v>4.186977934782464</v>
      </c>
      <c r="K23" s="69">
        <f>1.25*2752.88</f>
        <v>3441.1000000000004</v>
      </c>
      <c r="L23" s="36">
        <f t="shared" si="11"/>
        <v>2.9822017733228514</v>
      </c>
      <c r="M23" s="69">
        <f>1.25*2986</f>
        <v>3732.5</v>
      </c>
      <c r="N23" s="36">
        <f t="shared" si="12"/>
        <v>2.5617338391141926</v>
      </c>
      <c r="O23" s="69">
        <f>1.25*3634</f>
        <v>4542.5</v>
      </c>
      <c r="P23" s="36">
        <f t="shared" si="13"/>
        <v>2.5920032775931374</v>
      </c>
      <c r="Q23" s="18"/>
    </row>
    <row r="24" spans="1:17" ht="13.5" customHeight="1" thickBot="1">
      <c r="A24" s="20"/>
      <c r="B24" s="28" t="s">
        <v>50</v>
      </c>
      <c r="C24" s="69">
        <f>1.25*58.88</f>
        <v>73.60000000000001</v>
      </c>
      <c r="D24" s="36">
        <f t="shared" si="7"/>
        <v>0.0893249548710242</v>
      </c>
      <c r="E24" s="69">
        <f>1.25*161.6</f>
        <v>202</v>
      </c>
      <c r="F24" s="36">
        <f t="shared" si="8"/>
        <v>0.1898418626682086</v>
      </c>
      <c r="G24" s="69">
        <f>1.25*80</f>
        <v>100</v>
      </c>
      <c r="H24" s="36">
        <f t="shared" si="9"/>
        <v>0.09458093787403803</v>
      </c>
      <c r="I24" s="69">
        <f>1.25*110.4</f>
        <v>138</v>
      </c>
      <c r="J24" s="36">
        <f t="shared" si="10"/>
        <v>0.12176834102547471</v>
      </c>
      <c r="K24" s="69">
        <f>1.25*59.2</f>
        <v>74</v>
      </c>
      <c r="L24" s="36">
        <f t="shared" si="11"/>
        <v>0.06413150772308013</v>
      </c>
      <c r="M24" s="69">
        <f>1.25*138.4</f>
        <v>173</v>
      </c>
      <c r="N24" s="36">
        <f t="shared" si="12"/>
        <v>0.11873541973657208</v>
      </c>
      <c r="O24" s="69">
        <f>1.25*168.8</f>
        <v>211</v>
      </c>
      <c r="P24" s="36">
        <f t="shared" si="13"/>
        <v>0.12039905152936753</v>
      </c>
      <c r="Q24" s="18"/>
    </row>
    <row r="25" spans="1:17" ht="13.5" customHeight="1" thickBot="1" thickTop="1">
      <c r="A25" s="20"/>
      <c r="B25" s="27" t="s">
        <v>9</v>
      </c>
      <c r="C25" s="68">
        <f>SUM(C4:C24)</f>
        <v>82304.03750000002</v>
      </c>
      <c r="D25" s="34"/>
      <c r="E25" s="68">
        <f>SUM(E4:E24)</f>
        <v>106346.59999999999</v>
      </c>
      <c r="F25" s="34"/>
      <c r="G25" s="68">
        <f>SUM(G4:G24)</f>
        <v>105687.30000000002</v>
      </c>
      <c r="H25" s="34"/>
      <c r="I25" s="68">
        <f>SUM(I4:I24)</f>
        <v>113282.70000000001</v>
      </c>
      <c r="J25" s="34"/>
      <c r="K25" s="68">
        <f>SUM(K4:K24)</f>
        <v>115358.40000000002</v>
      </c>
      <c r="L25" s="34"/>
      <c r="M25" s="68">
        <f>SUM(M4:M24)</f>
        <v>145578.1</v>
      </c>
      <c r="N25" s="34"/>
      <c r="O25" s="68">
        <f>SUM(O4:O24)</f>
        <v>175192.8</v>
      </c>
      <c r="P25" s="34"/>
      <c r="Q25" s="18"/>
    </row>
    <row r="26" spans="1:17" ht="13.5" customHeight="1" thickBot="1" thickTop="1">
      <c r="A26" s="20"/>
      <c r="B26" s="27" t="s">
        <v>10</v>
      </c>
      <c r="C26" s="68">
        <f>C25*0.8+C21*0.2</f>
        <v>65916.63000000002</v>
      </c>
      <c r="D26" s="34"/>
      <c r="E26" s="68">
        <f>E25*0.8+E21*0.2</f>
        <v>85123.48</v>
      </c>
      <c r="F26" s="34"/>
      <c r="G26" s="68">
        <f>G25*0.8+G21*0.2</f>
        <v>84583.64000000003</v>
      </c>
      <c r="H26" s="34"/>
      <c r="I26" s="68">
        <f>I25*0.8+I21*0.2</f>
        <v>90663.96000000002</v>
      </c>
      <c r="J26" s="34"/>
      <c r="K26" s="68">
        <f>K25*0.8+K21*0.2</f>
        <v>92310.32000000004</v>
      </c>
      <c r="L26" s="34"/>
      <c r="M26" s="68">
        <f>M25*0.8+M21*0.2</f>
        <v>116561.68000000001</v>
      </c>
      <c r="N26" s="34"/>
      <c r="O26" s="68">
        <f>O25*0.8+O21*0.2</f>
        <v>140200.44</v>
      </c>
      <c r="P26" s="34"/>
      <c r="Q26" s="18"/>
    </row>
    <row r="27" spans="1:17" ht="9.75" customHeight="1" thickBot="1" thickTop="1">
      <c r="A27" s="20"/>
      <c r="B27" s="29"/>
      <c r="C27" s="70"/>
      <c r="D27" s="5"/>
      <c r="E27" s="70"/>
      <c r="F27" s="5"/>
      <c r="G27" s="70"/>
      <c r="H27" s="5"/>
      <c r="I27" s="70"/>
      <c r="J27" s="5"/>
      <c r="K27" s="70"/>
      <c r="L27" s="5"/>
      <c r="M27" s="70"/>
      <c r="N27" s="5"/>
      <c r="O27" s="70"/>
      <c r="P27" s="5"/>
      <c r="Q27" s="20"/>
    </row>
    <row r="28" spans="1:17" ht="13.5" customHeight="1" thickBot="1" thickTop="1">
      <c r="A28" s="32"/>
      <c r="B28" s="27" t="s">
        <v>11</v>
      </c>
      <c r="C28" s="65"/>
      <c r="D28" s="5">
        <v>25</v>
      </c>
      <c r="E28" s="65"/>
      <c r="F28" s="5">
        <v>24</v>
      </c>
      <c r="G28" s="65"/>
      <c r="H28" s="5">
        <v>27</v>
      </c>
      <c r="I28" s="65"/>
      <c r="J28" s="5">
        <v>23</v>
      </c>
      <c r="K28" s="65"/>
      <c r="L28" s="5">
        <v>24</v>
      </c>
      <c r="M28" s="65"/>
      <c r="N28" s="5">
        <v>25</v>
      </c>
      <c r="O28" s="65"/>
      <c r="P28" s="5">
        <v>26</v>
      </c>
      <c r="Q28" s="57"/>
    </row>
    <row r="29" spans="1:17" ht="13.5" customHeight="1" thickBot="1" thickTop="1">
      <c r="A29" s="20"/>
      <c r="B29" s="27" t="s">
        <v>12</v>
      </c>
      <c r="C29" s="65">
        <f>C25/D28</f>
        <v>3292.1615000000006</v>
      </c>
      <c r="D29" s="37"/>
      <c r="E29" s="65">
        <f>E25/F28</f>
        <v>4431.108333333333</v>
      </c>
      <c r="F29" s="37"/>
      <c r="G29" s="65">
        <f>G25/H28</f>
        <v>3914.344444444445</v>
      </c>
      <c r="H29" s="37"/>
      <c r="I29" s="65">
        <f>I25/J28</f>
        <v>4925.3347826086965</v>
      </c>
      <c r="J29" s="37"/>
      <c r="K29" s="65">
        <f>K25/L28</f>
        <v>4806.600000000001</v>
      </c>
      <c r="L29" s="37"/>
      <c r="M29" s="65">
        <f>M25/N28</f>
        <v>5823.124</v>
      </c>
      <c r="N29" s="37"/>
      <c r="O29" s="65">
        <f>O25/P28</f>
        <v>6738.1846153846145</v>
      </c>
      <c r="P29" s="37"/>
      <c r="Q29" s="19"/>
    </row>
    <row r="30" spans="1:17" ht="9.75" customHeight="1" thickBot="1" thickTop="1">
      <c r="A30" s="20"/>
      <c r="B30" s="29"/>
      <c r="C30" s="70"/>
      <c r="D30" s="37"/>
      <c r="E30" s="70"/>
      <c r="F30" s="37"/>
      <c r="G30" s="70"/>
      <c r="H30" s="37"/>
      <c r="I30" s="70"/>
      <c r="J30" s="37"/>
      <c r="K30" s="70"/>
      <c r="L30" s="37"/>
      <c r="M30" s="70"/>
      <c r="N30" s="37"/>
      <c r="O30" s="70"/>
      <c r="P30" s="37"/>
      <c r="Q30" s="23"/>
    </row>
    <row r="31" spans="1:19" ht="13.5" customHeight="1" thickBot="1" thickTop="1">
      <c r="A31" s="32"/>
      <c r="B31" s="61" t="s">
        <v>81</v>
      </c>
      <c r="C31" s="65">
        <v>2617</v>
      </c>
      <c r="D31" s="37"/>
      <c r="E31" s="65">
        <v>4223</v>
      </c>
      <c r="F31" s="37"/>
      <c r="G31" s="65">
        <v>5191</v>
      </c>
      <c r="H31" s="37"/>
      <c r="I31" s="65">
        <v>5032</v>
      </c>
      <c r="J31" s="37"/>
      <c r="K31" s="65">
        <v>4903</v>
      </c>
      <c r="L31" s="37"/>
      <c r="M31" s="65">
        <v>5959</v>
      </c>
      <c r="N31" s="37"/>
      <c r="O31" s="65">
        <v>7043</v>
      </c>
      <c r="P31" s="37"/>
      <c r="Q31" s="56"/>
      <c r="S31"/>
    </row>
    <row r="32" spans="1:19" ht="13.5" customHeight="1" thickBot="1" thickTop="1">
      <c r="A32" s="32"/>
      <c r="B32" s="64" t="s">
        <v>77</v>
      </c>
      <c r="C32" s="71">
        <v>3165</v>
      </c>
      <c r="D32" s="54"/>
      <c r="E32" s="71">
        <v>3883</v>
      </c>
      <c r="F32" s="54"/>
      <c r="G32" s="71">
        <v>2428</v>
      </c>
      <c r="H32" s="54"/>
      <c r="I32" s="71">
        <v>3776</v>
      </c>
      <c r="J32" s="54"/>
      <c r="K32" s="71">
        <v>6515</v>
      </c>
      <c r="L32" s="54"/>
      <c r="M32" s="71">
        <v>6886</v>
      </c>
      <c r="N32" s="54"/>
      <c r="O32" s="71">
        <v>7705</v>
      </c>
      <c r="P32" s="55"/>
      <c r="Q32" s="56"/>
      <c r="S32"/>
    </row>
    <row r="33" spans="1:17" ht="16.5" customHeight="1" thickBot="1" thickTop="1">
      <c r="A33" s="20"/>
      <c r="B33" s="26"/>
      <c r="C33" s="66"/>
      <c r="D33" s="32"/>
      <c r="E33" s="66"/>
      <c r="F33" s="32"/>
      <c r="G33" s="66"/>
      <c r="H33" s="32"/>
      <c r="I33" s="66"/>
      <c r="J33" s="32"/>
      <c r="K33" s="66"/>
      <c r="L33" s="32"/>
      <c r="M33" s="66"/>
      <c r="N33" s="32"/>
      <c r="O33" s="66"/>
      <c r="P33" s="32"/>
      <c r="Q33" s="20"/>
    </row>
    <row r="34" spans="1:17" ht="13.5" customHeight="1" thickBot="1" thickTop="1">
      <c r="A34" s="20"/>
      <c r="B34" s="27" t="s">
        <v>0</v>
      </c>
      <c r="C34" s="67" t="s">
        <v>13</v>
      </c>
      <c r="D34" s="47" t="s">
        <v>2</v>
      </c>
      <c r="E34" s="67" t="s">
        <v>14</v>
      </c>
      <c r="F34" s="47" t="s">
        <v>2</v>
      </c>
      <c r="G34" s="67" t="s">
        <v>15</v>
      </c>
      <c r="H34" s="47" t="s">
        <v>2</v>
      </c>
      <c r="I34" s="67" t="s">
        <v>16</v>
      </c>
      <c r="J34" s="47" t="s">
        <v>2</v>
      </c>
      <c r="K34" s="67" t="s">
        <v>17</v>
      </c>
      <c r="L34" s="47" t="s">
        <v>2</v>
      </c>
      <c r="M34" s="67" t="s">
        <v>18</v>
      </c>
      <c r="N34" s="48"/>
      <c r="O34" s="73" t="s">
        <v>19</v>
      </c>
      <c r="P34" s="47" t="s">
        <v>2</v>
      </c>
      <c r="Q34" s="18"/>
    </row>
    <row r="35" spans="1:18" ht="13.5" customHeight="1" thickTop="1">
      <c r="A35" s="20"/>
      <c r="B35" s="27" t="s">
        <v>31</v>
      </c>
      <c r="C35" s="68">
        <f>1.25*9707.76</f>
        <v>12134.7</v>
      </c>
      <c r="D35" s="34">
        <f aca="true" t="shared" si="14" ref="D35:D45">80*C35/C$57</f>
        <v>7.722826719922711</v>
      </c>
      <c r="E35" s="68">
        <f>1.25*8020</f>
        <v>10025</v>
      </c>
      <c r="F35" s="34">
        <f aca="true" t="shared" si="15" ref="F35:F45">80*E35/E$57</f>
        <v>7.941330008404739</v>
      </c>
      <c r="G35" s="68">
        <f>1.25*7752.96</f>
        <v>9691.2</v>
      </c>
      <c r="H35" s="34">
        <f aca="true" t="shared" si="16" ref="H35:H45">80*G35/G$57</f>
        <v>8.47069559049564</v>
      </c>
      <c r="I35" s="68">
        <f>1.25*9512.32</f>
        <v>11890.4</v>
      </c>
      <c r="J35" s="34">
        <f aca="true" t="shared" si="17" ref="J35:J45">80*I35/I$57</f>
        <v>6.794027056916775</v>
      </c>
      <c r="K35" s="68">
        <f>1.25*26416.32</f>
        <v>33020.4</v>
      </c>
      <c r="L35" s="34">
        <f aca="true" t="shared" si="18" ref="L35:L45">80*K35/K$57</f>
        <v>9.069888937781093</v>
      </c>
      <c r="M35" s="68"/>
      <c r="N35" s="40"/>
      <c r="O35" s="65">
        <f aca="true" t="shared" si="19" ref="O35:O55">C4+E4+G4+I4+K4+M4+O4+C35+E35+G35+I35+K35+M35</f>
        <v>152949.69999999998</v>
      </c>
      <c r="P35" s="34">
        <f aca="true" t="shared" si="20" ref="P35:P45">O35*80/$O$57</f>
        <v>8.587597232393616</v>
      </c>
      <c r="Q35" s="18"/>
      <c r="R35" s="60"/>
    </row>
    <row r="36" spans="1:17" ht="13.5" customHeight="1">
      <c r="A36" s="20"/>
      <c r="B36" s="28" t="s">
        <v>32</v>
      </c>
      <c r="C36" s="69">
        <f>1.25*8087.2</f>
        <v>10109</v>
      </c>
      <c r="D36" s="36">
        <f t="shared" si="14"/>
        <v>6.433620551945964</v>
      </c>
      <c r="E36" s="69">
        <f>1.25*7537.28</f>
        <v>9421.6</v>
      </c>
      <c r="F36" s="36">
        <f t="shared" si="15"/>
        <v>7.4633451179238</v>
      </c>
      <c r="G36" s="69">
        <f>1.25*8034.88</f>
        <v>10043.6</v>
      </c>
      <c r="H36" s="36">
        <f t="shared" si="16"/>
        <v>8.77871452789149</v>
      </c>
      <c r="I36" s="69">
        <f>1.25*4376.08</f>
        <v>5470.1</v>
      </c>
      <c r="J36" s="36">
        <f t="shared" si="17"/>
        <v>3.1255472821806207</v>
      </c>
      <c r="K36" s="69">
        <f>1.25*12570.8</f>
        <v>15713.5</v>
      </c>
      <c r="L36" s="36">
        <f t="shared" si="18"/>
        <v>4.316110641416313</v>
      </c>
      <c r="M36" s="69"/>
      <c r="N36" s="41"/>
      <c r="O36" s="74">
        <f t="shared" si="19"/>
        <v>103269.35</v>
      </c>
      <c r="P36" s="36">
        <f t="shared" si="20"/>
        <v>5.798217219458997</v>
      </c>
      <c r="Q36" s="18"/>
    </row>
    <row r="37" spans="1:17" ht="13.5" customHeight="1">
      <c r="A37" s="20"/>
      <c r="B37" s="28" t="s">
        <v>33</v>
      </c>
      <c r="C37" s="69">
        <f>1.25*3162.4</f>
        <v>3953</v>
      </c>
      <c r="D37" s="36">
        <f t="shared" si="14"/>
        <v>2.5157881137444256</v>
      </c>
      <c r="E37" s="69">
        <f>1.25*2546.8</f>
        <v>3183.5</v>
      </c>
      <c r="F37" s="36">
        <f t="shared" si="15"/>
        <v>2.5218178635168567</v>
      </c>
      <c r="G37" s="69">
        <f>1.25*2889.6</f>
        <v>3612</v>
      </c>
      <c r="H37" s="36">
        <f t="shared" si="16"/>
        <v>3.1571067022525847</v>
      </c>
      <c r="I37" s="69">
        <f>1.25*3459.2</f>
        <v>4324</v>
      </c>
      <c r="J37" s="36">
        <f t="shared" si="17"/>
        <v>2.4706799598085962</v>
      </c>
      <c r="K37" s="69">
        <f>1.25*10891.92</f>
        <v>13614.9</v>
      </c>
      <c r="L37" s="36">
        <f t="shared" si="18"/>
        <v>3.739677014784673</v>
      </c>
      <c r="M37" s="69"/>
      <c r="N37" s="41"/>
      <c r="O37" s="74">
        <f t="shared" si="19"/>
        <v>48596.65</v>
      </c>
      <c r="P37" s="36">
        <f t="shared" si="20"/>
        <v>2.728534001986282</v>
      </c>
      <c r="Q37" s="18"/>
    </row>
    <row r="38" spans="1:17" ht="13.5" customHeight="1">
      <c r="A38" s="20"/>
      <c r="B38" s="28" t="s">
        <v>34</v>
      </c>
      <c r="C38" s="69">
        <f>1.25*5469.6</f>
        <v>6837</v>
      </c>
      <c r="D38" s="36">
        <f t="shared" si="14"/>
        <v>4.351237878489916</v>
      </c>
      <c r="E38" s="69">
        <f>1.25*10162.88</f>
        <v>12703.599999999999</v>
      </c>
      <c r="F38" s="36">
        <f t="shared" si="15"/>
        <v>10.063190014440941</v>
      </c>
      <c r="G38" s="69">
        <f>1.25*12250.48</f>
        <v>15313.099999999999</v>
      </c>
      <c r="H38" s="36">
        <f t="shared" si="16"/>
        <v>13.384576589774102</v>
      </c>
      <c r="I38" s="69">
        <f>1.25*13048.8</f>
        <v>16311</v>
      </c>
      <c r="J38" s="36">
        <f t="shared" si="17"/>
        <v>9.31990305838067</v>
      </c>
      <c r="K38" s="69">
        <f>1.25*35580.24</f>
        <v>44475.299999999996</v>
      </c>
      <c r="L38" s="36">
        <f t="shared" si="18"/>
        <v>12.216267261283795</v>
      </c>
      <c r="M38" s="69"/>
      <c r="N38" s="41"/>
      <c r="O38" s="74">
        <f t="shared" si="19"/>
        <v>141931.35</v>
      </c>
      <c r="P38" s="36">
        <f t="shared" si="20"/>
        <v>7.968954946952429</v>
      </c>
      <c r="Q38" s="18"/>
    </row>
    <row r="39" spans="1:17" ht="13.5" customHeight="1">
      <c r="A39" s="20"/>
      <c r="B39" s="28" t="s">
        <v>35</v>
      </c>
      <c r="C39" s="69">
        <f>1.25*6745.2</f>
        <v>8431.5</v>
      </c>
      <c r="D39" s="36">
        <f t="shared" si="14"/>
        <v>5.36601757678627</v>
      </c>
      <c r="E39" s="69">
        <f>1.25*7381.6</f>
        <v>9227</v>
      </c>
      <c r="F39" s="36">
        <f t="shared" si="15"/>
        <v>7.309192218209529</v>
      </c>
      <c r="G39" s="69">
        <f>1.25*7588.8</f>
        <v>9486</v>
      </c>
      <c r="H39" s="36">
        <f t="shared" si="16"/>
        <v>8.291338365882618</v>
      </c>
      <c r="I39" s="69">
        <f>1.25*5867.04</f>
        <v>7333.8</v>
      </c>
      <c r="J39" s="36">
        <f t="shared" si="17"/>
        <v>4.190442342563433</v>
      </c>
      <c r="K39" s="69">
        <f>1.25*17696.48</f>
        <v>22120.6</v>
      </c>
      <c r="L39" s="36">
        <f t="shared" si="18"/>
        <v>6.075982884431456</v>
      </c>
      <c r="M39" s="69"/>
      <c r="N39" s="41"/>
      <c r="O39" s="74">
        <f t="shared" si="19"/>
        <v>122790.5</v>
      </c>
      <c r="P39" s="36">
        <f t="shared" si="20"/>
        <v>6.894262348760595</v>
      </c>
      <c r="Q39" s="18"/>
    </row>
    <row r="40" spans="1:17" ht="13.5" customHeight="1">
      <c r="A40" s="20"/>
      <c r="B40" s="28" t="s">
        <v>51</v>
      </c>
      <c r="C40" s="69">
        <f>1.25*6807.2</f>
        <v>8509</v>
      </c>
      <c r="D40" s="36">
        <f t="shared" si="14"/>
        <v>5.415340516026136</v>
      </c>
      <c r="E40" s="69">
        <f>1.25*2702.8</f>
        <v>3378.5</v>
      </c>
      <c r="F40" s="36">
        <f t="shared" si="15"/>
        <v>2.676287624278844</v>
      </c>
      <c r="G40" s="69">
        <f>1.25*1272.59</f>
        <v>1590.7375</v>
      </c>
      <c r="H40" s="36">
        <f t="shared" si="16"/>
        <v>1.390400892241008</v>
      </c>
      <c r="I40" s="69">
        <f>1.25*4958.4</f>
        <v>6198</v>
      </c>
      <c r="J40" s="36">
        <f t="shared" si="17"/>
        <v>3.541460312417595</v>
      </c>
      <c r="K40" s="69">
        <f>1.25*8082.8</f>
        <v>10103.5</v>
      </c>
      <c r="L40" s="36">
        <f t="shared" si="18"/>
        <v>2.7751820960034186</v>
      </c>
      <c r="M40" s="69"/>
      <c r="N40" s="41"/>
      <c r="O40" s="74">
        <f t="shared" si="19"/>
        <v>63065.1875</v>
      </c>
      <c r="P40" s="36">
        <f t="shared" si="20"/>
        <v>3.540892395574392</v>
      </c>
      <c r="Q40" s="18"/>
    </row>
    <row r="41" spans="1:17" ht="13.5" customHeight="1">
      <c r="A41" s="20"/>
      <c r="B41" s="28" t="s">
        <v>37</v>
      </c>
      <c r="C41" s="69">
        <f>1.25*20928</f>
        <v>26160</v>
      </c>
      <c r="D41" s="36">
        <f t="shared" si="14"/>
        <v>16.64887858728919</v>
      </c>
      <c r="E41" s="69">
        <f>1.25*9246.08</f>
        <v>11557.6</v>
      </c>
      <c r="F41" s="36">
        <f t="shared" si="15"/>
        <v>9.155383112732032</v>
      </c>
      <c r="G41" s="69">
        <f>1.25*4168.2</f>
        <v>5210.25</v>
      </c>
      <c r="H41" s="36">
        <f t="shared" si="16"/>
        <v>4.554073974366426</v>
      </c>
      <c r="I41" s="69">
        <f>1.25*4462.4</f>
        <v>5578</v>
      </c>
      <c r="J41" s="36">
        <f t="shared" si="17"/>
        <v>3.1872000036568804</v>
      </c>
      <c r="K41" s="69">
        <f>1.25*7334.4</f>
        <v>9168</v>
      </c>
      <c r="L41" s="36">
        <f t="shared" si="18"/>
        <v>2.518223334107917</v>
      </c>
      <c r="M41" s="69"/>
      <c r="N41" s="41"/>
      <c r="O41" s="74">
        <f t="shared" si="19"/>
        <v>162227.85</v>
      </c>
      <c r="P41" s="36">
        <f t="shared" si="20"/>
        <v>9.108533300014102</v>
      </c>
      <c r="Q41" s="18"/>
    </row>
    <row r="42" spans="1:17" ht="13.5" customHeight="1">
      <c r="A42" s="20"/>
      <c r="B42" s="28" t="s">
        <v>38</v>
      </c>
      <c r="C42" s="69">
        <f>1.25*20285.12</f>
        <v>25356.399999999998</v>
      </c>
      <c r="D42" s="36">
        <f t="shared" si="14"/>
        <v>16.137447439248454</v>
      </c>
      <c r="E42" s="69">
        <f>1.25*11935.6</f>
        <v>14919.5</v>
      </c>
      <c r="F42" s="36">
        <f t="shared" si="15"/>
        <v>11.818521003530625</v>
      </c>
      <c r="G42" s="69">
        <f>1.25*13505.2</f>
        <v>16881.5</v>
      </c>
      <c r="H42" s="36">
        <f t="shared" si="16"/>
        <v>14.75545315450637</v>
      </c>
      <c r="I42" s="69">
        <f>1.25*21044.64</f>
        <v>26305.8</v>
      </c>
      <c r="J42" s="36">
        <f t="shared" si="17"/>
        <v>15.0308077906413</v>
      </c>
      <c r="K42" s="69">
        <f>1.25*44377.28</f>
        <v>55471.6</v>
      </c>
      <c r="L42" s="36">
        <f t="shared" si="18"/>
        <v>15.236679483017095</v>
      </c>
      <c r="M42" s="69"/>
      <c r="N42" s="41"/>
      <c r="O42" s="74">
        <f t="shared" si="19"/>
        <v>295142.3</v>
      </c>
      <c r="P42" s="36">
        <f t="shared" si="20"/>
        <v>16.571220464259078</v>
      </c>
      <c r="Q42" s="18"/>
    </row>
    <row r="43" spans="1:17" ht="13.5" customHeight="1">
      <c r="A43" s="20"/>
      <c r="B43" s="28" t="s">
        <v>39</v>
      </c>
      <c r="C43" s="69">
        <f>3097.68*1.25-C44</f>
        <v>3564.1</v>
      </c>
      <c r="D43" s="36">
        <f t="shared" si="14"/>
        <v>2.268282422513662</v>
      </c>
      <c r="E43" s="69">
        <f>1.25*6654.08-E44</f>
        <v>6788.6</v>
      </c>
      <c r="F43" s="36">
        <f t="shared" si="15"/>
        <v>5.377607271327323</v>
      </c>
      <c r="G43" s="69">
        <f>1.25*3122.8-G44</f>
        <v>3347.5</v>
      </c>
      <c r="H43" s="36">
        <f t="shared" si="16"/>
        <v>2.925917687095938</v>
      </c>
      <c r="I43" s="69">
        <f>1.25*7260.8-I44</f>
        <v>6852</v>
      </c>
      <c r="J43" s="36">
        <f t="shared" si="17"/>
        <v>3.915147799400671</v>
      </c>
      <c r="K43" s="69">
        <f>1.25*15587.44-K44</f>
        <v>17045.2</v>
      </c>
      <c r="L43" s="36">
        <f t="shared" si="18"/>
        <v>4.681895765110849</v>
      </c>
      <c r="M43" s="69"/>
      <c r="N43" s="41"/>
      <c r="O43" s="74">
        <f t="shared" si="19"/>
        <v>66378.8</v>
      </c>
      <c r="P43" s="36">
        <f t="shared" si="20"/>
        <v>3.726940289321322</v>
      </c>
      <c r="Q43" s="18"/>
    </row>
    <row r="44" spans="1:17" ht="13.5" customHeight="1">
      <c r="A44" s="20"/>
      <c r="B44" s="28" t="s">
        <v>40</v>
      </c>
      <c r="C44" s="69">
        <f>1.25*246.4</f>
        <v>308</v>
      </c>
      <c r="D44" s="36">
        <f t="shared" si="14"/>
        <v>0.19601890691456691</v>
      </c>
      <c r="E44" s="69">
        <f>1.25*1223.2</f>
        <v>1529</v>
      </c>
      <c r="F44" s="36">
        <f t="shared" si="15"/>
        <v>1.21120135489784</v>
      </c>
      <c r="G44" s="69">
        <f>1.25*444.8</f>
        <v>556</v>
      </c>
      <c r="H44" s="36">
        <f t="shared" si="16"/>
        <v>0.48597766513079654</v>
      </c>
      <c r="I44" s="69">
        <f>1.25*1779.2</f>
        <v>2224</v>
      </c>
      <c r="J44" s="36">
        <f t="shared" si="17"/>
        <v>1.2707660107803698</v>
      </c>
      <c r="K44" s="69">
        <f>1.25*1951.28</f>
        <v>2439.1</v>
      </c>
      <c r="L44" s="36">
        <f t="shared" si="18"/>
        <v>0.6699605731045616</v>
      </c>
      <c r="M44" s="69"/>
      <c r="N44" s="41"/>
      <c r="O44" s="74">
        <f t="shared" si="19"/>
        <v>12401</v>
      </c>
      <c r="P44" s="36">
        <f t="shared" si="20"/>
        <v>0.6962733060536453</v>
      </c>
      <c r="Q44" s="18"/>
    </row>
    <row r="45" spans="1:17" ht="13.5" customHeight="1">
      <c r="A45" s="20"/>
      <c r="B45" s="28" t="s">
        <v>41</v>
      </c>
      <c r="C45" s="69">
        <f>1.25*10820</f>
        <v>13525</v>
      </c>
      <c r="D45" s="36">
        <f t="shared" si="14"/>
        <v>8.607648428634796</v>
      </c>
      <c r="E45" s="69">
        <f>1.25*10224.4</f>
        <v>12780.5</v>
      </c>
      <c r="F45" s="36">
        <f t="shared" si="15"/>
        <v>10.124106550864516</v>
      </c>
      <c r="G45" s="69">
        <f>1.25*5406.48</f>
        <v>6758.099999999999</v>
      </c>
      <c r="H45" s="36">
        <f t="shared" si="16"/>
        <v>5.906988594820929</v>
      </c>
      <c r="I45" s="69">
        <f>1.25*7637.04</f>
        <v>9546.3</v>
      </c>
      <c r="J45" s="36">
        <f t="shared" si="17"/>
        <v>5.4546373960038865</v>
      </c>
      <c r="K45" s="69">
        <f>1.25*18642.48</f>
        <v>23303.1</v>
      </c>
      <c r="L45" s="36">
        <f t="shared" si="18"/>
        <v>6.400786450376331</v>
      </c>
      <c r="M45" s="69"/>
      <c r="N45" s="41"/>
      <c r="O45" s="74">
        <f t="shared" si="19"/>
        <v>123155.79999999999</v>
      </c>
      <c r="P45" s="36">
        <f t="shared" si="20"/>
        <v>6.914772681693536</v>
      </c>
      <c r="Q45" s="18"/>
    </row>
    <row r="46" spans="1:17" ht="13.5" customHeight="1">
      <c r="A46" s="20"/>
      <c r="B46" s="28" t="s">
        <v>42</v>
      </c>
      <c r="C46" s="69">
        <f>1.25*8445.36</f>
        <v>10556.7</v>
      </c>
      <c r="D46" s="36">
        <f>100*C46/C$57</f>
        <v>8.398185043120977</v>
      </c>
      <c r="E46" s="69">
        <f>1.25*5294.4</f>
        <v>6618</v>
      </c>
      <c r="F46" s="36">
        <f>100*E46/E$57</f>
        <v>6.5530825430950825</v>
      </c>
      <c r="G46" s="69">
        <f>1.25*3282.45</f>
        <v>4103.0625</v>
      </c>
      <c r="H46" s="36">
        <f>100*G46/G$57</f>
        <v>4.482906325619894</v>
      </c>
      <c r="I46" s="69">
        <f>1.25*7056.24</f>
        <v>8820.3</v>
      </c>
      <c r="J46" s="36">
        <f>100*I46/I$57</f>
        <v>6.299762502746231</v>
      </c>
      <c r="K46" s="69">
        <f>1.25*18422.4</f>
        <v>23028</v>
      </c>
      <c r="L46" s="36">
        <f>100*K46/K$57</f>
        <v>7.9065290872923635</v>
      </c>
      <c r="M46" s="69"/>
      <c r="N46" s="41"/>
      <c r="O46" s="74">
        <f t="shared" si="19"/>
        <v>92390.4625</v>
      </c>
      <c r="P46" s="36">
        <f>O46*100/$O$57</f>
        <v>6.484256589458546</v>
      </c>
      <c r="Q46" s="18"/>
    </row>
    <row r="47" spans="1:17" ht="13.5" customHeight="1">
      <c r="A47" s="20"/>
      <c r="B47" s="28" t="s">
        <v>43</v>
      </c>
      <c r="C47" s="69">
        <f>1.25*1511.28</f>
        <v>1889.1</v>
      </c>
      <c r="D47" s="36">
        <f aca="true" t="shared" si="21" ref="D47:D55">80*C47/C$57</f>
        <v>1.202270509910092</v>
      </c>
      <c r="E47" s="69">
        <f>1.25*1747.04</f>
        <v>2183.8</v>
      </c>
      <c r="F47" s="36">
        <f aca="true" t="shared" si="22" ref="F47:F55">80*E47/E$57</f>
        <v>1.729902890010401</v>
      </c>
      <c r="G47" s="69">
        <f>1.25*1604.56</f>
        <v>2005.6999999999998</v>
      </c>
      <c r="H47" s="36">
        <f aca="true" t="shared" si="23" ref="H47:H55">80*G47/G$57</f>
        <v>1.7531032427209328</v>
      </c>
      <c r="I47" s="69">
        <f>1.25*3377.36</f>
        <v>4221.7</v>
      </c>
      <c r="J47" s="36">
        <f aca="true" t="shared" si="24" ref="J47:J55">80*I47/I$57</f>
        <v>2.4122270088630784</v>
      </c>
      <c r="K47" s="69">
        <f>1.25*2483.2</f>
        <v>3104</v>
      </c>
      <c r="L47" s="36">
        <f aca="true" t="shared" si="25" ref="L47:L55">80*K47/K$57</f>
        <v>0.8525921933977939</v>
      </c>
      <c r="M47" s="69"/>
      <c r="N47" s="41"/>
      <c r="O47" s="74">
        <f t="shared" si="19"/>
        <v>35103.4</v>
      </c>
      <c r="P47" s="36">
        <f aca="true" t="shared" si="26" ref="P47:P55">O47*80/$O$57</f>
        <v>1.970934632023509</v>
      </c>
      <c r="Q47" s="18"/>
    </row>
    <row r="48" spans="1:17" ht="13.5" customHeight="1">
      <c r="A48" s="20"/>
      <c r="B48" s="28" t="s">
        <v>44</v>
      </c>
      <c r="C48" s="69">
        <f>1.25*4359.92</f>
        <v>5449.9</v>
      </c>
      <c r="D48" s="36">
        <f t="shared" si="21"/>
        <v>3.4684527298496697</v>
      </c>
      <c r="E48" s="69">
        <f>1.25*4960.16</f>
        <v>6200.2</v>
      </c>
      <c r="F48" s="36">
        <f t="shared" si="22"/>
        <v>4.911504670135767</v>
      </c>
      <c r="G48" s="69">
        <f>1.25*6028.32</f>
        <v>7535.4</v>
      </c>
      <c r="H48" s="36">
        <f t="shared" si="23"/>
        <v>6.586395859400367</v>
      </c>
      <c r="I48" s="69">
        <f>1.25*12664.32</f>
        <v>15830.4</v>
      </c>
      <c r="J48" s="36">
        <f t="shared" si="24"/>
        <v>9.045294180331638</v>
      </c>
      <c r="K48" s="69">
        <f>1.25*16488.96</f>
        <v>20611.199999999997</v>
      </c>
      <c r="L48" s="36">
        <f t="shared" si="25"/>
        <v>5.661387956366175</v>
      </c>
      <c r="M48" s="69"/>
      <c r="N48" s="41"/>
      <c r="O48" s="74">
        <f t="shared" si="19"/>
        <v>91884.23749999999</v>
      </c>
      <c r="P48" s="36">
        <f t="shared" si="26"/>
        <v>5.158982486762627</v>
      </c>
      <c r="Q48" s="18"/>
    </row>
    <row r="49" spans="1:17" ht="13.5" customHeight="1">
      <c r="A49" s="20"/>
      <c r="B49" s="28" t="s">
        <v>45</v>
      </c>
      <c r="C49" s="69">
        <f>1.25*2539.2</f>
        <v>3174</v>
      </c>
      <c r="D49" s="36">
        <f t="shared" si="21"/>
        <v>2.020013021255959</v>
      </c>
      <c r="E49" s="69">
        <f>1.25*1874.8</f>
        <v>2343.5</v>
      </c>
      <c r="F49" s="36">
        <f t="shared" si="22"/>
        <v>1.8564096633113722</v>
      </c>
      <c r="G49" s="69">
        <f>1.25*2248.8</f>
        <v>2811</v>
      </c>
      <c r="H49" s="36">
        <f t="shared" si="23"/>
        <v>2.456984202666671</v>
      </c>
      <c r="I49" s="69">
        <f>1.25*2747.2</f>
        <v>3434</v>
      </c>
      <c r="J49" s="36">
        <f t="shared" si="24"/>
        <v>1.9621450004585383</v>
      </c>
      <c r="K49" s="69">
        <f>1.25*5109.12</f>
        <v>6386.4</v>
      </c>
      <c r="L49" s="36">
        <f t="shared" si="25"/>
        <v>1.754186463890358</v>
      </c>
      <c r="M49" s="69"/>
      <c r="N49" s="41"/>
      <c r="O49" s="74">
        <f t="shared" si="19"/>
        <v>32964.7</v>
      </c>
      <c r="P49" s="36">
        <f t="shared" si="26"/>
        <v>1.8508540159718252</v>
      </c>
      <c r="Q49" s="18"/>
    </row>
    <row r="50" spans="1:17" ht="13.5" customHeight="1">
      <c r="A50" s="20"/>
      <c r="B50" s="28" t="s">
        <v>46</v>
      </c>
      <c r="C50" s="69">
        <f>1.25*2131.76</f>
        <v>2664.7000000000003</v>
      </c>
      <c r="D50" s="36">
        <f t="shared" si="21"/>
        <v>1.695881757322229</v>
      </c>
      <c r="E50" s="69">
        <f>1.25*2887.52</f>
        <v>3609.4</v>
      </c>
      <c r="F50" s="36">
        <f t="shared" si="22"/>
        <v>2.859195664073423</v>
      </c>
      <c r="G50" s="69">
        <f>1.25*2719.76</f>
        <v>3399.7000000000003</v>
      </c>
      <c r="H50" s="36">
        <f t="shared" si="23"/>
        <v>2.97154364774311</v>
      </c>
      <c r="I50" s="69">
        <f>1.25*3247.36</f>
        <v>4059.2000000000003</v>
      </c>
      <c r="J50" s="36">
        <f t="shared" si="24"/>
        <v>2.319376524712085</v>
      </c>
      <c r="K50" s="69">
        <f>1.25*7822.4</f>
        <v>9778</v>
      </c>
      <c r="L50" s="36">
        <f t="shared" si="25"/>
        <v>2.685775279331066</v>
      </c>
      <c r="M50" s="69"/>
      <c r="N50" s="41"/>
      <c r="O50" s="74">
        <f t="shared" si="19"/>
        <v>42389.90000000001</v>
      </c>
      <c r="P50" s="36">
        <f t="shared" si="26"/>
        <v>2.38004643305245</v>
      </c>
      <c r="Q50" s="18"/>
    </row>
    <row r="51" spans="1:17" ht="13.5" customHeight="1">
      <c r="A51" s="20"/>
      <c r="B51" s="28" t="s">
        <v>47</v>
      </c>
      <c r="C51" s="69">
        <f>1.25*0</f>
        <v>0</v>
      </c>
      <c r="D51" s="36">
        <f t="shared" si="21"/>
        <v>0</v>
      </c>
      <c r="E51" s="69">
        <f>1.25*47.2</f>
        <v>59</v>
      </c>
      <c r="F51" s="36">
        <f t="shared" si="22"/>
        <v>0.04673700453824236</v>
      </c>
      <c r="G51" s="69">
        <f>1.25*2223.92</f>
        <v>2779.9</v>
      </c>
      <c r="H51" s="36">
        <f t="shared" si="23"/>
        <v>2.4298009195991033</v>
      </c>
      <c r="I51" s="69">
        <f>1.25*19961.16</f>
        <v>24951.45</v>
      </c>
      <c r="J51" s="36">
        <f t="shared" si="24"/>
        <v>14.25694900165731</v>
      </c>
      <c r="K51" s="69">
        <f>1.25*26120.88</f>
        <v>32651.100000000002</v>
      </c>
      <c r="L51" s="36">
        <f t="shared" si="25"/>
        <v>8.968451342091079</v>
      </c>
      <c r="M51" s="69"/>
      <c r="N51" s="41"/>
      <c r="O51" s="74">
        <f t="shared" si="19"/>
        <v>61561.25</v>
      </c>
      <c r="P51" s="36">
        <f t="shared" si="26"/>
        <v>3.4564515008704926</v>
      </c>
      <c r="Q51" s="18"/>
    </row>
    <row r="52" spans="1:17" ht="13.5" customHeight="1">
      <c r="A52" s="20"/>
      <c r="B52" s="28" t="s">
        <v>48</v>
      </c>
      <c r="C52" s="69">
        <v>94</v>
      </c>
      <c r="D52" s="36">
        <f t="shared" si="21"/>
        <v>0.0598239521102899</v>
      </c>
      <c r="E52" s="69">
        <v>1048</v>
      </c>
      <c r="F52" s="36">
        <f t="shared" si="22"/>
        <v>0.830175945018271</v>
      </c>
      <c r="G52" s="69">
        <v>0</v>
      </c>
      <c r="H52" s="36">
        <f t="shared" si="23"/>
        <v>0</v>
      </c>
      <c r="I52" s="69">
        <v>392</v>
      </c>
      <c r="J52" s="36">
        <f t="shared" si="24"/>
        <v>0.22398393715193565</v>
      </c>
      <c r="K52" s="69">
        <v>220</v>
      </c>
      <c r="L52" s="36">
        <f t="shared" si="25"/>
        <v>0.06042857040834879</v>
      </c>
      <c r="M52" s="69"/>
      <c r="N52" s="41"/>
      <c r="O52" s="74">
        <f t="shared" si="19"/>
        <v>3555</v>
      </c>
      <c r="P52" s="36">
        <f t="shared" si="26"/>
        <v>0.19960096790748402</v>
      </c>
      <c r="Q52" s="18"/>
    </row>
    <row r="53" spans="1:17" ht="13.5" customHeight="1">
      <c r="A53" s="20"/>
      <c r="B53" s="28" t="s">
        <v>60</v>
      </c>
      <c r="C53" s="69">
        <f>1.25*6581.68</f>
        <v>8227.1</v>
      </c>
      <c r="D53" s="36">
        <f t="shared" si="21"/>
        <v>5.2359323021975115</v>
      </c>
      <c r="E53" s="69">
        <f>1.25*5065.6</f>
        <v>6332</v>
      </c>
      <c r="F53" s="36">
        <f t="shared" si="22"/>
        <v>5.0159103853584845</v>
      </c>
      <c r="G53" s="69">
        <f>1.25*5346.88</f>
        <v>6683.6</v>
      </c>
      <c r="H53" s="36">
        <f t="shared" si="23"/>
        <v>5.8418710839355965</v>
      </c>
      <c r="I53" s="69">
        <f>1.25*5689.6</f>
        <v>7112</v>
      </c>
      <c r="J53" s="36">
        <f t="shared" si="24"/>
        <v>4.063708574042261</v>
      </c>
      <c r="K53" s="69">
        <f>1.25*12257.84</f>
        <v>15322.3</v>
      </c>
      <c r="L53" s="36">
        <f t="shared" si="25"/>
        <v>4.208657656217467</v>
      </c>
      <c r="M53" s="69"/>
      <c r="N53" s="41"/>
      <c r="O53" s="74">
        <f t="shared" si="19"/>
        <v>79133.29999999999</v>
      </c>
      <c r="P53" s="36">
        <f t="shared" si="26"/>
        <v>4.443061399075472</v>
      </c>
      <c r="Q53" s="18"/>
    </row>
    <row r="54" spans="1:17" ht="13.5" customHeight="1">
      <c r="A54" s="20"/>
      <c r="B54" s="28" t="s">
        <v>49</v>
      </c>
      <c r="C54" s="69">
        <f>1.25*4758.4</f>
        <v>5948</v>
      </c>
      <c r="D54" s="36">
        <f t="shared" si="21"/>
        <v>3.785456033531961</v>
      </c>
      <c r="E54" s="69">
        <f>1.25*1572.8</f>
        <v>1966</v>
      </c>
      <c r="F54" s="36">
        <f t="shared" si="22"/>
        <v>1.5573720495285504</v>
      </c>
      <c r="G54" s="69">
        <f>1.25*1952.96</f>
        <v>2441.2</v>
      </c>
      <c r="H54" s="36">
        <f t="shared" si="23"/>
        <v>2.1337566117217635</v>
      </c>
      <c r="I54" s="69">
        <f>1.25*3130.48</f>
        <v>3913.1</v>
      </c>
      <c r="J54" s="36">
        <f t="shared" si="24"/>
        <v>2.235896797115407</v>
      </c>
      <c r="K54" s="69">
        <f>1.25*4824</f>
        <v>6030</v>
      </c>
      <c r="L54" s="36">
        <f t="shared" si="25"/>
        <v>1.6562921798288328</v>
      </c>
      <c r="M54" s="69"/>
      <c r="N54" s="41"/>
      <c r="O54" s="74">
        <f t="shared" si="19"/>
        <v>47276.399999999994</v>
      </c>
      <c r="P54" s="36">
        <f t="shared" si="26"/>
        <v>2.6544065257894167</v>
      </c>
      <c r="Q54" s="18"/>
    </row>
    <row r="55" spans="1:17" ht="13.5" customHeight="1" thickBot="1">
      <c r="A55" s="20"/>
      <c r="B55" s="28" t="s">
        <v>50</v>
      </c>
      <c r="C55" s="69">
        <f>1.25*170.4</f>
        <v>213</v>
      </c>
      <c r="D55" s="36">
        <f t="shared" si="21"/>
        <v>0.13555852978182711</v>
      </c>
      <c r="E55" s="69">
        <f>1.25*81.6</f>
        <v>102</v>
      </c>
      <c r="F55" s="36">
        <f t="shared" si="22"/>
        <v>0.08079956716780883</v>
      </c>
      <c r="G55" s="69">
        <f>1.25*127.2</f>
        <v>159</v>
      </c>
      <c r="H55" s="36">
        <f t="shared" si="23"/>
        <v>0.13897562725862708</v>
      </c>
      <c r="I55" s="69">
        <f>1.25*117.6</f>
        <v>147</v>
      </c>
      <c r="J55" s="36">
        <f t="shared" si="24"/>
        <v>0.08399397643197587</v>
      </c>
      <c r="K55" s="69">
        <f>1.25*324</f>
        <v>405</v>
      </c>
      <c r="L55" s="36">
        <f t="shared" si="25"/>
        <v>0.11124350461536937</v>
      </c>
      <c r="M55" s="69"/>
      <c r="N55" s="41"/>
      <c r="O55" s="74">
        <f t="shared" si="19"/>
        <v>1997.6</v>
      </c>
      <c r="P55" s="36">
        <f t="shared" si="26"/>
        <v>0.1121583385350183</v>
      </c>
      <c r="Q55" s="18"/>
    </row>
    <row r="56" spans="1:17" ht="13.5" customHeight="1" thickBot="1" thickTop="1">
      <c r="A56" s="20"/>
      <c r="B56" s="27" t="s">
        <v>9</v>
      </c>
      <c r="C56" s="68">
        <f>SUM(C35:C55)</f>
        <v>157104.2</v>
      </c>
      <c r="D56" s="34"/>
      <c r="E56" s="68">
        <f>SUM(E35:E55)</f>
        <v>125976.29999999999</v>
      </c>
      <c r="F56" s="34"/>
      <c r="G56" s="68">
        <f>SUM(G35:G55)</f>
        <v>114408.55</v>
      </c>
      <c r="H56" s="34"/>
      <c r="I56" s="68">
        <f>SUM(I35:I55)</f>
        <v>174914.55000000002</v>
      </c>
      <c r="J56" s="34"/>
      <c r="K56" s="68">
        <f>SUM(K35:K55)</f>
        <v>364011.20000000007</v>
      </c>
      <c r="L56" s="34"/>
      <c r="M56" s="68">
        <f>SUM(M35:M55)</f>
        <v>0</v>
      </c>
      <c r="N56" s="5"/>
      <c r="O56" s="65">
        <f>SUM(O35:O55)</f>
        <v>1780164.7374999998</v>
      </c>
      <c r="P56" s="34"/>
      <c r="Q56" s="18"/>
    </row>
    <row r="57" spans="1:17" ht="13.5" customHeight="1" thickBot="1" thickTop="1">
      <c r="A57" s="20"/>
      <c r="B57" s="27" t="s">
        <v>10</v>
      </c>
      <c r="C57" s="68">
        <f>C56*0.8+C52*0.2</f>
        <v>125702.16000000002</v>
      </c>
      <c r="D57" s="34"/>
      <c r="E57" s="68">
        <f>E56*0.8+E52*0.2</f>
        <v>100990.64</v>
      </c>
      <c r="F57" s="34"/>
      <c r="G57" s="68">
        <f>G56*0.8+G52*0.2</f>
        <v>91526.84000000001</v>
      </c>
      <c r="H57" s="34"/>
      <c r="I57" s="68">
        <f>I56*0.8+I52*0.2</f>
        <v>140010.04</v>
      </c>
      <c r="J57" s="34"/>
      <c r="K57" s="68">
        <f>K56*0.8+K52*0.2</f>
        <v>291252.9600000001</v>
      </c>
      <c r="L57" s="34"/>
      <c r="M57" s="68">
        <f>M56*0.8+M46*0.2</f>
        <v>0</v>
      </c>
      <c r="N57" s="5"/>
      <c r="O57" s="65">
        <f>O56*0.8+O52*0.2</f>
        <v>1424842.79</v>
      </c>
      <c r="P57" s="34"/>
      <c r="Q57" s="18"/>
    </row>
    <row r="58" spans="1:17" ht="9.75" customHeight="1" thickBot="1" thickTop="1">
      <c r="A58" s="20"/>
      <c r="B58" s="29"/>
      <c r="C58" s="70"/>
      <c r="D58" s="5"/>
      <c r="E58" s="70"/>
      <c r="F58" s="5"/>
      <c r="G58" s="70"/>
      <c r="H58" s="5"/>
      <c r="I58" s="70"/>
      <c r="J58" s="5"/>
      <c r="K58" s="70"/>
      <c r="L58" s="5"/>
      <c r="M58" s="70"/>
      <c r="N58" s="5"/>
      <c r="O58" s="70"/>
      <c r="P58" s="5"/>
      <c r="Q58" s="20"/>
    </row>
    <row r="59" spans="1:17" ht="13.5" customHeight="1" thickBot="1" thickTop="1">
      <c r="A59" s="20"/>
      <c r="B59" s="27" t="s">
        <v>11</v>
      </c>
      <c r="C59" s="65"/>
      <c r="D59" s="5">
        <v>27</v>
      </c>
      <c r="E59" s="65"/>
      <c r="F59" s="5">
        <v>26</v>
      </c>
      <c r="G59" s="65"/>
      <c r="H59" s="5">
        <v>26</v>
      </c>
      <c r="I59" s="65"/>
      <c r="J59" s="5">
        <v>26</v>
      </c>
      <c r="K59" s="65"/>
      <c r="L59" s="5">
        <v>24</v>
      </c>
      <c r="M59" s="65"/>
      <c r="N59" s="5"/>
      <c r="O59" s="65"/>
      <c r="P59" s="5">
        <f>SUM(A28:P28)+SUM(A59:N59)</f>
        <v>303</v>
      </c>
      <c r="Q59" s="18"/>
    </row>
    <row r="60" spans="1:17" ht="13.5" customHeight="1" thickBot="1" thickTop="1">
      <c r="A60" s="20"/>
      <c r="B60" s="27" t="s">
        <v>12</v>
      </c>
      <c r="C60" s="65">
        <f>C56/D59</f>
        <v>5818.674074074074</v>
      </c>
      <c r="D60" s="37"/>
      <c r="E60" s="65">
        <f>E56/F59</f>
        <v>4845.242307692307</v>
      </c>
      <c r="F60" s="37"/>
      <c r="G60" s="65">
        <f>G56/H59</f>
        <v>4400.328846153846</v>
      </c>
      <c r="H60" s="37"/>
      <c r="I60" s="65">
        <f>I56/J59</f>
        <v>6727.482692307693</v>
      </c>
      <c r="J60" s="37"/>
      <c r="K60" s="65">
        <f>K56/L59</f>
        <v>15167.133333333337</v>
      </c>
      <c r="L60" s="37"/>
      <c r="M60" s="65"/>
      <c r="N60" s="37"/>
      <c r="O60" s="65">
        <f>O56/P59</f>
        <v>5875.131146864685</v>
      </c>
      <c r="P60" s="37"/>
      <c r="Q60" s="19"/>
    </row>
    <row r="61" spans="1:17" ht="9.75" customHeight="1" thickBot="1" thickTop="1">
      <c r="A61" s="20"/>
      <c r="B61" s="29"/>
      <c r="C61" s="70"/>
      <c r="D61" s="37"/>
      <c r="E61" s="70"/>
      <c r="F61" s="37"/>
      <c r="G61" s="70"/>
      <c r="H61" s="37"/>
      <c r="I61" s="70"/>
      <c r="J61" s="37"/>
      <c r="K61" s="70"/>
      <c r="L61" s="37"/>
      <c r="M61" s="70"/>
      <c r="N61" s="37"/>
      <c r="O61" s="70"/>
      <c r="P61" s="5"/>
      <c r="Q61" s="20"/>
    </row>
    <row r="62" spans="1:19" ht="13.5" customHeight="1" thickBot="1" thickTop="1">
      <c r="A62" s="32"/>
      <c r="B62" s="61" t="s">
        <v>81</v>
      </c>
      <c r="C62" s="65">
        <v>6023</v>
      </c>
      <c r="D62" s="37"/>
      <c r="E62" s="65">
        <v>4745</v>
      </c>
      <c r="F62" s="37"/>
      <c r="G62" s="65">
        <v>5111</v>
      </c>
      <c r="H62" s="37"/>
      <c r="I62" s="65">
        <v>6948</v>
      </c>
      <c r="J62" s="37"/>
      <c r="K62" s="65">
        <v>14622</v>
      </c>
      <c r="L62" s="37"/>
      <c r="M62" s="65"/>
      <c r="N62" s="37"/>
      <c r="O62" s="65">
        <v>6473</v>
      </c>
      <c r="P62" s="37"/>
      <c r="Q62" s="56"/>
      <c r="S62"/>
    </row>
    <row r="63" spans="1:19" ht="13.5" customHeight="1" thickBot="1" thickTop="1">
      <c r="A63" s="32"/>
      <c r="B63" s="61" t="s">
        <v>77</v>
      </c>
      <c r="C63" s="65">
        <v>5368</v>
      </c>
      <c r="D63" s="37"/>
      <c r="E63" s="65">
        <v>3913</v>
      </c>
      <c r="F63" s="37"/>
      <c r="G63" s="65">
        <v>4055</v>
      </c>
      <c r="H63" s="37"/>
      <c r="I63" s="65">
        <v>7335</v>
      </c>
      <c r="J63" s="37"/>
      <c r="K63" s="65">
        <v>13119</v>
      </c>
      <c r="L63" s="37"/>
      <c r="M63" s="65"/>
      <c r="N63" s="37"/>
      <c r="O63" s="65">
        <v>5661</v>
      </c>
      <c r="P63" s="37"/>
      <c r="Q63" s="56"/>
      <c r="S63"/>
    </row>
    <row r="64" spans="1:19" ht="9.75" customHeight="1" thickTop="1">
      <c r="A64" s="32"/>
      <c r="B64" s="29"/>
      <c r="C64" s="70"/>
      <c r="D64" s="5"/>
      <c r="E64" s="70"/>
      <c r="F64" s="5"/>
      <c r="G64" s="70"/>
      <c r="H64" s="5"/>
      <c r="I64" s="70"/>
      <c r="J64" s="5"/>
      <c r="K64" s="70"/>
      <c r="L64" s="5"/>
      <c r="M64" s="70"/>
      <c r="N64" s="5"/>
      <c r="O64" s="70"/>
      <c r="P64" s="5"/>
      <c r="Q64" s="32"/>
      <c r="S64"/>
    </row>
    <row r="65" spans="1:19" ht="13.5" customHeight="1">
      <c r="A65" s="32"/>
      <c r="B65" s="26"/>
      <c r="C65" s="66"/>
      <c r="D65" s="32"/>
      <c r="E65" s="66"/>
      <c r="F65" s="32"/>
      <c r="G65" s="66"/>
      <c r="H65" s="32"/>
      <c r="I65" s="66"/>
      <c r="J65" s="39" t="s">
        <v>20</v>
      </c>
      <c r="K65" s="66"/>
      <c r="L65" s="62" t="s">
        <v>82</v>
      </c>
      <c r="M65" s="66" t="s">
        <v>21</v>
      </c>
      <c r="N65" s="32"/>
      <c r="O65" s="66">
        <v>1670003</v>
      </c>
      <c r="P65" s="32"/>
      <c r="Q65" s="32"/>
      <c r="S65"/>
    </row>
    <row r="66" spans="1:19" ht="13.5" customHeight="1">
      <c r="A66" s="32"/>
      <c r="B66" s="26"/>
      <c r="C66" s="66"/>
      <c r="D66" s="32"/>
      <c r="E66" s="66"/>
      <c r="F66" s="32"/>
      <c r="G66" s="66"/>
      <c r="H66" s="32"/>
      <c r="I66" s="66"/>
      <c r="J66" s="39" t="s">
        <v>20</v>
      </c>
      <c r="K66" s="66"/>
      <c r="L66" s="62" t="s">
        <v>78</v>
      </c>
      <c r="M66" s="66" t="s">
        <v>21</v>
      </c>
      <c r="N66" s="32"/>
      <c r="O66" s="66">
        <v>1692535</v>
      </c>
      <c r="P66" s="32"/>
      <c r="Q66" s="32"/>
      <c r="S66"/>
    </row>
    <row r="67" spans="1:17" ht="15">
      <c r="A67" s="32"/>
      <c r="B67" s="26"/>
      <c r="C67" s="66"/>
      <c r="D67" s="32"/>
      <c r="E67" s="66"/>
      <c r="F67" s="32"/>
      <c r="G67" s="66"/>
      <c r="H67" s="32"/>
      <c r="I67" s="66"/>
      <c r="J67" s="32"/>
      <c r="K67" s="66"/>
      <c r="L67" s="32"/>
      <c r="M67" s="66"/>
      <c r="N67" s="32"/>
      <c r="O67" s="66"/>
      <c r="P67" s="32"/>
      <c r="Q67" s="32"/>
    </row>
    <row r="68" spans="1:17" ht="15">
      <c r="A68" s="20"/>
      <c r="B68" s="26"/>
      <c r="C68" s="66"/>
      <c r="D68" s="39"/>
      <c r="E68" s="66"/>
      <c r="F68" s="32"/>
      <c r="G68" s="66"/>
      <c r="H68" s="32"/>
      <c r="I68" s="66"/>
      <c r="J68" s="32"/>
      <c r="K68" s="66"/>
      <c r="L68" s="32"/>
      <c r="M68" s="66"/>
      <c r="N68" s="32"/>
      <c r="O68" s="66"/>
      <c r="P68" s="32"/>
      <c r="Q68" s="20"/>
    </row>
    <row r="69" spans="1:17" ht="15">
      <c r="A69" s="20"/>
      <c r="B69" s="26"/>
      <c r="C69" s="66"/>
      <c r="E69" s="66"/>
      <c r="F69" s="32"/>
      <c r="G69" s="66"/>
      <c r="H69" s="32"/>
      <c r="I69" s="66"/>
      <c r="J69" s="32"/>
      <c r="K69" s="66"/>
      <c r="L69" s="32"/>
      <c r="M69" s="66"/>
      <c r="N69" s="32"/>
      <c r="O69" s="66"/>
      <c r="P69" s="32"/>
      <c r="Q69" s="20"/>
    </row>
    <row r="70" spans="1:17" ht="15">
      <c r="A70" s="20"/>
      <c r="B70" s="26"/>
      <c r="C70" s="66"/>
      <c r="E70" s="66"/>
      <c r="F70" s="32"/>
      <c r="G70" s="66"/>
      <c r="H70" s="32"/>
      <c r="I70" s="66"/>
      <c r="J70" s="32"/>
      <c r="K70" s="66"/>
      <c r="L70" s="32"/>
      <c r="M70" s="66"/>
      <c r="N70" s="32"/>
      <c r="O70" s="66"/>
      <c r="P70" s="32"/>
      <c r="Q70" s="20"/>
    </row>
    <row r="71" spans="1:17" ht="15">
      <c r="A71" s="20"/>
      <c r="B71" s="26"/>
      <c r="C71" s="66"/>
      <c r="E71" s="66"/>
      <c r="F71" s="32"/>
      <c r="G71" s="66"/>
      <c r="H71" s="32"/>
      <c r="I71" s="66"/>
      <c r="J71" s="32"/>
      <c r="K71" s="66"/>
      <c r="L71" s="32"/>
      <c r="M71" s="66"/>
      <c r="N71" s="32"/>
      <c r="O71" s="66"/>
      <c r="P71" s="32"/>
      <c r="Q71" s="20"/>
    </row>
    <row r="72" spans="1:17" ht="15">
      <c r="A72" s="20"/>
      <c r="B72" s="26"/>
      <c r="C72" s="66"/>
      <c r="E72" s="66"/>
      <c r="F72" s="32"/>
      <c r="G72" s="66"/>
      <c r="H72" s="32"/>
      <c r="I72" s="66"/>
      <c r="J72" s="32"/>
      <c r="K72" s="66"/>
      <c r="L72" s="32"/>
      <c r="M72" s="66"/>
      <c r="N72" s="32"/>
      <c r="O72" s="66"/>
      <c r="P72" s="32"/>
      <c r="Q72" s="20"/>
    </row>
    <row r="73" spans="1:17" ht="15">
      <c r="A73" s="20"/>
      <c r="B73" s="26"/>
      <c r="C73" s="66"/>
      <c r="D73" s="32"/>
      <c r="E73" s="66"/>
      <c r="F73" s="32"/>
      <c r="G73" s="66"/>
      <c r="H73" s="32"/>
      <c r="I73" s="66"/>
      <c r="J73" s="32"/>
      <c r="K73" s="66"/>
      <c r="L73" s="32"/>
      <c r="M73" s="66"/>
      <c r="N73" s="32"/>
      <c r="O73" s="66"/>
      <c r="P73" s="32"/>
      <c r="Q73" s="20"/>
    </row>
    <row r="74" spans="1:17" ht="15">
      <c r="A74" s="20"/>
      <c r="B74" s="26"/>
      <c r="C74" s="66"/>
      <c r="D74" s="32"/>
      <c r="E74" s="66"/>
      <c r="F74" s="32"/>
      <c r="G74" s="66"/>
      <c r="H74" s="32"/>
      <c r="I74" s="66"/>
      <c r="J74" s="32"/>
      <c r="K74" s="66"/>
      <c r="L74" s="32"/>
      <c r="M74" s="66"/>
      <c r="N74" s="32"/>
      <c r="O74" s="66"/>
      <c r="P74" s="32"/>
      <c r="Q74" s="20"/>
    </row>
    <row r="75" spans="1:17" ht="15">
      <c r="A75" s="20"/>
      <c r="B75" s="26"/>
      <c r="C75" s="66"/>
      <c r="D75" s="32"/>
      <c r="E75" s="66"/>
      <c r="F75" s="32"/>
      <c r="G75" s="66"/>
      <c r="H75" s="32"/>
      <c r="I75" s="66"/>
      <c r="J75" s="32"/>
      <c r="K75" s="66"/>
      <c r="L75" s="32"/>
      <c r="M75" s="66"/>
      <c r="N75" s="32"/>
      <c r="O75" s="66"/>
      <c r="P75" s="32"/>
      <c r="Q75" s="20"/>
    </row>
  </sheetData>
  <sheetProtection/>
  <printOptions/>
  <pageMargins left="0.58" right="0.15748031496062992" top="0.53" bottom="0.1968503937007874" header="0.5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"/>
  <sheetViews>
    <sheetView zoomScalePageLayoutView="0" workbookViewId="0" topLeftCell="A14">
      <selection activeCell="A47" sqref="A47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21484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5">
      <c r="A1" s="20"/>
      <c r="B1" s="26"/>
      <c r="C1" s="31"/>
      <c r="D1" s="32"/>
      <c r="E1" s="31"/>
      <c r="F1" s="51" t="s">
        <v>76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5.75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6.5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8" ht="16.5" thickTop="1">
      <c r="A4" s="20"/>
      <c r="B4" s="27" t="s">
        <v>31</v>
      </c>
      <c r="C4" s="33">
        <f>1.25*0</f>
        <v>0</v>
      </c>
      <c r="D4" s="34">
        <f aca="true" t="shared" si="0" ref="D4:D14">80*C4/C$26</f>
        <v>0</v>
      </c>
      <c r="E4" s="33">
        <f>1.25*143.2</f>
        <v>179</v>
      </c>
      <c r="F4" s="34">
        <f aca="true" t="shared" si="1" ref="F4:F14">80*E4/E$26</f>
        <v>1.4122566520049706</v>
      </c>
      <c r="G4" s="33">
        <f>1.25*10846.4</f>
        <v>13558</v>
      </c>
      <c r="H4" s="34">
        <f aca="true" t="shared" si="2" ref="H4:H14">80*G4/G$26</f>
        <v>9.66828125584969</v>
      </c>
      <c r="I4" s="33">
        <f>1.25*7042.08</f>
        <v>8802.6</v>
      </c>
      <c r="J4" s="34">
        <f aca="true" t="shared" si="3" ref="J4:J14">80*I4/I$26</f>
        <v>7.941312987925101</v>
      </c>
      <c r="K4" s="33">
        <f>1.25*6724.16</f>
        <v>8405.2</v>
      </c>
      <c r="L4" s="34">
        <f aca="true" t="shared" si="4" ref="L4:L14">80*K4/K$26</f>
        <v>7.139414021373562</v>
      </c>
      <c r="M4" s="33">
        <f>1.25*9628.08</f>
        <v>12035.1</v>
      </c>
      <c r="N4" s="34">
        <f aca="true" t="shared" si="5" ref="N4:N14">80*M4/M$26</f>
        <v>8.072195073855612</v>
      </c>
      <c r="O4" s="33">
        <f>1.25*14997.12</f>
        <v>18746.4</v>
      </c>
      <c r="P4" s="34">
        <f aca="true" t="shared" si="6" ref="P4:P14">80*O4/O$26</f>
        <v>9.853120885532052</v>
      </c>
      <c r="Q4" s="18"/>
      <c r="R4" s="60"/>
    </row>
    <row r="5" spans="1:18" ht="15">
      <c r="A5" s="20"/>
      <c r="B5" s="28" t="s">
        <v>32</v>
      </c>
      <c r="C5" s="35">
        <f>1.25*0</f>
        <v>0</v>
      </c>
      <c r="D5" s="36">
        <f t="shared" si="0"/>
        <v>0</v>
      </c>
      <c r="E5" s="35">
        <f>1.25*72</f>
        <v>90</v>
      </c>
      <c r="F5" s="36">
        <f t="shared" si="1"/>
        <v>0.7100731769857395</v>
      </c>
      <c r="G5" s="35">
        <f>1.25*7087.6</f>
        <v>8859.5</v>
      </c>
      <c r="H5" s="36">
        <f t="shared" si="2"/>
        <v>6.317756142956213</v>
      </c>
      <c r="I5" s="35">
        <f>1.25*4574.48</f>
        <v>5718.099999999999</v>
      </c>
      <c r="J5" s="36">
        <f t="shared" si="3"/>
        <v>5.1586147043208275</v>
      </c>
      <c r="K5" s="35">
        <f>1.25*7854</f>
        <v>9817.5</v>
      </c>
      <c r="L5" s="36">
        <f t="shared" si="4"/>
        <v>8.33902788212475</v>
      </c>
      <c r="M5" s="35">
        <f>1.25*5547.6</f>
        <v>6934.5</v>
      </c>
      <c r="N5" s="36">
        <f t="shared" si="5"/>
        <v>4.651115216296644</v>
      </c>
      <c r="O5" s="35">
        <f>1.25*13475.68</f>
        <v>16844.6</v>
      </c>
      <c r="P5" s="36">
        <f t="shared" si="6"/>
        <v>8.85353348207833</v>
      </c>
      <c r="Q5" s="18"/>
      <c r="R5" s="63" t="s">
        <v>79</v>
      </c>
    </row>
    <row r="6" spans="1:17" ht="15">
      <c r="A6" s="20"/>
      <c r="B6" s="28" t="s">
        <v>33</v>
      </c>
      <c r="C6" s="35">
        <f>1.25*0</f>
        <v>0</v>
      </c>
      <c r="D6" s="36">
        <f t="shared" si="0"/>
        <v>0</v>
      </c>
      <c r="E6" s="35">
        <f>1.25*36</f>
        <v>45</v>
      </c>
      <c r="F6" s="36">
        <f t="shared" si="1"/>
        <v>0.35503658849286973</v>
      </c>
      <c r="G6" s="35">
        <f>1.25*4100.88</f>
        <v>5126.1</v>
      </c>
      <c r="H6" s="36">
        <f t="shared" si="2"/>
        <v>3.655448926509153</v>
      </c>
      <c r="I6" s="35">
        <f>1.25*3197.76</f>
        <v>3997.2000000000003</v>
      </c>
      <c r="J6" s="36">
        <f t="shared" si="3"/>
        <v>3.6060955030711623</v>
      </c>
      <c r="K6" s="35">
        <f>1.25*2788.8</f>
        <v>3486</v>
      </c>
      <c r="L6" s="36">
        <f t="shared" si="4"/>
        <v>2.9610238041341357</v>
      </c>
      <c r="M6" s="35">
        <f>1.25*3397.2</f>
        <v>4246.5</v>
      </c>
      <c r="N6" s="36">
        <f t="shared" si="5"/>
        <v>2.8482169970443</v>
      </c>
      <c r="O6" s="35">
        <f>1.25*3038.08</f>
        <v>3797.6</v>
      </c>
      <c r="P6" s="36">
        <f t="shared" si="6"/>
        <v>1.9960212027320723</v>
      </c>
      <c r="Q6" s="18"/>
    </row>
    <row r="7" spans="1:17" ht="15">
      <c r="A7" s="20"/>
      <c r="B7" s="28" t="s">
        <v>34</v>
      </c>
      <c r="C7" s="35">
        <f>1.25*0</f>
        <v>0</v>
      </c>
      <c r="D7" s="36">
        <f t="shared" si="0"/>
        <v>0</v>
      </c>
      <c r="E7" s="35">
        <f>1.25*2052.8</f>
        <v>2566</v>
      </c>
      <c r="F7" s="36">
        <f t="shared" si="1"/>
        <v>20.244975246060083</v>
      </c>
      <c r="G7" s="35">
        <f>1.25*3437.61</f>
        <v>4297.0125</v>
      </c>
      <c r="H7" s="36">
        <f t="shared" si="2"/>
        <v>3.0642222606506726</v>
      </c>
      <c r="I7" s="35">
        <f>1.25*2725.92</f>
        <v>3407.4</v>
      </c>
      <c r="J7" s="36">
        <f t="shared" si="3"/>
        <v>3.0740042572712594</v>
      </c>
      <c r="K7" s="35">
        <f>1.25*3759.36</f>
        <v>4699.2</v>
      </c>
      <c r="L7" s="36">
        <f t="shared" si="4"/>
        <v>3.991521245090973</v>
      </c>
      <c r="M7" s="35">
        <f>1.25*3448.8</f>
        <v>4311</v>
      </c>
      <c r="N7" s="36">
        <f t="shared" si="5"/>
        <v>2.8914785056535917</v>
      </c>
      <c r="O7" s="35">
        <f>1.25*4692</f>
        <v>5865</v>
      </c>
      <c r="P7" s="36">
        <f t="shared" si="6"/>
        <v>3.0826480814260595</v>
      </c>
      <c r="Q7" s="18"/>
    </row>
    <row r="8" spans="1:17" ht="15">
      <c r="A8" s="20"/>
      <c r="B8" s="28" t="s">
        <v>35</v>
      </c>
      <c r="C8" s="35">
        <f>1.25*1482.4</f>
        <v>1853</v>
      </c>
      <c r="D8" s="36">
        <f t="shared" si="0"/>
        <v>35.08472971693648</v>
      </c>
      <c r="E8" s="35">
        <f>1.25*932</f>
        <v>1165</v>
      </c>
      <c r="F8" s="36">
        <f t="shared" si="1"/>
        <v>9.19150279098207</v>
      </c>
      <c r="G8" s="35">
        <f>1.25*13237.92</f>
        <v>16547.4</v>
      </c>
      <c r="H8" s="36">
        <f t="shared" si="2"/>
        <v>11.800038151131965</v>
      </c>
      <c r="I8" s="35">
        <f>1.25*8576.48</f>
        <v>10720.599999999999</v>
      </c>
      <c r="J8" s="36">
        <f t="shared" si="3"/>
        <v>9.671647015467002</v>
      </c>
      <c r="K8" s="35">
        <f>1.25*7542.96</f>
        <v>9428.7</v>
      </c>
      <c r="L8" s="36">
        <f t="shared" si="4"/>
        <v>8.008779444073301</v>
      </c>
      <c r="M8" s="35">
        <f>1.25*11349.28</f>
        <v>14186.6</v>
      </c>
      <c r="N8" s="36">
        <f t="shared" si="5"/>
        <v>9.515251442427568</v>
      </c>
      <c r="O8" s="35">
        <f>1.25*9471.2</f>
        <v>11839</v>
      </c>
      <c r="P8" s="36">
        <f t="shared" si="6"/>
        <v>6.222586638704709</v>
      </c>
      <c r="Q8" s="18"/>
    </row>
    <row r="9" spans="1:17" ht="15">
      <c r="A9" s="20"/>
      <c r="B9" s="28" t="s">
        <v>51</v>
      </c>
      <c r="C9" s="35">
        <f>1.25*287.2</f>
        <v>359</v>
      </c>
      <c r="D9" s="36">
        <f t="shared" si="0"/>
        <v>6.797311369875983</v>
      </c>
      <c r="E9" s="35">
        <f>1.25*264</f>
        <v>330</v>
      </c>
      <c r="F9" s="36">
        <f t="shared" si="1"/>
        <v>2.6036016489477114</v>
      </c>
      <c r="G9" s="35">
        <f>1.25*6656.4</f>
        <v>8320.5</v>
      </c>
      <c r="H9" s="36">
        <f t="shared" si="2"/>
        <v>5.933392402219896</v>
      </c>
      <c r="I9" s="35">
        <f>1.25*6996.48</f>
        <v>8745.599999999999</v>
      </c>
      <c r="J9" s="36">
        <f t="shared" si="3"/>
        <v>7.889890131006492</v>
      </c>
      <c r="K9" s="35">
        <f>1.25*4292.8</f>
        <v>5366</v>
      </c>
      <c r="L9" s="36">
        <f t="shared" si="4"/>
        <v>4.557904111584559</v>
      </c>
      <c r="M9" s="35">
        <f>1.25*3132</f>
        <v>3915</v>
      </c>
      <c r="N9" s="36">
        <f t="shared" si="5"/>
        <v>2.625872964424452</v>
      </c>
      <c r="O9" s="35">
        <f>1.25*5578</f>
        <v>6972.5</v>
      </c>
      <c r="P9" s="36">
        <f t="shared" si="6"/>
        <v>3.664750852130128</v>
      </c>
      <c r="Q9" s="18"/>
    </row>
    <row r="10" spans="1:17" ht="15">
      <c r="A10" s="20"/>
      <c r="B10" s="28" t="s">
        <v>37</v>
      </c>
      <c r="C10" s="35">
        <f>1.25*0</f>
        <v>0</v>
      </c>
      <c r="D10" s="36">
        <f t="shared" si="0"/>
        <v>0</v>
      </c>
      <c r="E10" s="35">
        <f>1.25*2884</f>
        <v>3605</v>
      </c>
      <c r="F10" s="36">
        <f t="shared" si="1"/>
        <v>28.442375589262117</v>
      </c>
      <c r="G10" s="35">
        <f>1.25*9788</f>
        <v>12235</v>
      </c>
      <c r="H10" s="36">
        <f t="shared" si="2"/>
        <v>8.724842983133277</v>
      </c>
      <c r="I10" s="35">
        <f>1.25*11760.8</f>
        <v>14701</v>
      </c>
      <c r="J10" s="36">
        <f t="shared" si="3"/>
        <v>13.262586308077944</v>
      </c>
      <c r="K10" s="35">
        <f>1.25*14485.6</f>
        <v>18107</v>
      </c>
      <c r="L10" s="36">
        <f t="shared" si="4"/>
        <v>15.380165812236603</v>
      </c>
      <c r="M10" s="35">
        <f>1.25*23974.4</f>
        <v>29968</v>
      </c>
      <c r="N10" s="36">
        <f t="shared" si="5"/>
        <v>20.100168837259762</v>
      </c>
      <c r="O10" s="35">
        <f>1.25*35904.8</f>
        <v>44881</v>
      </c>
      <c r="P10" s="36">
        <f t="shared" si="6"/>
        <v>23.589484832477915</v>
      </c>
      <c r="Q10" s="18"/>
    </row>
    <row r="11" spans="1:17" ht="15">
      <c r="A11" s="20"/>
      <c r="B11" s="28" t="s">
        <v>38</v>
      </c>
      <c r="C11" s="35">
        <f>1.25*339.2</f>
        <v>424</v>
      </c>
      <c r="D11" s="36">
        <f t="shared" si="0"/>
        <v>8.02802234213765</v>
      </c>
      <c r="E11" s="35">
        <f>1.25*384</f>
        <v>480</v>
      </c>
      <c r="F11" s="36">
        <f t="shared" si="1"/>
        <v>3.7870569439239437</v>
      </c>
      <c r="G11" s="35">
        <f>1.25*18728.22</f>
        <v>23410.275</v>
      </c>
      <c r="H11" s="36">
        <f t="shared" si="2"/>
        <v>16.693990483610165</v>
      </c>
      <c r="I11" s="35">
        <f>1.25*11613.12</f>
        <v>14516.400000000001</v>
      </c>
      <c r="J11" s="36">
        <f t="shared" si="3"/>
        <v>13.09604842409242</v>
      </c>
      <c r="K11" s="35">
        <f>1.25*17811.68</f>
        <v>22264.6</v>
      </c>
      <c r="L11" s="36">
        <f t="shared" si="4"/>
        <v>18.911649624074837</v>
      </c>
      <c r="M11" s="35">
        <f>1.25*24695.36</f>
        <v>30869.2</v>
      </c>
      <c r="N11" s="36">
        <f t="shared" si="5"/>
        <v>20.70462265987517</v>
      </c>
      <c r="O11" s="35">
        <f>1.25*23916.64</f>
        <v>29895.8</v>
      </c>
      <c r="P11" s="36">
        <f t="shared" si="6"/>
        <v>15.713253284347347</v>
      </c>
      <c r="Q11" s="18"/>
    </row>
    <row r="12" spans="1:17" ht="15">
      <c r="A12" s="20"/>
      <c r="B12" s="28" t="s">
        <v>39</v>
      </c>
      <c r="C12" s="35">
        <f>1.25*-C13</f>
        <v>0</v>
      </c>
      <c r="D12" s="36">
        <f t="shared" si="0"/>
        <v>0</v>
      </c>
      <c r="E12" s="35">
        <f>1.25*427.6-E13</f>
        <v>534.5</v>
      </c>
      <c r="F12" s="36">
        <f t="shared" si="1"/>
        <v>4.217045701098641</v>
      </c>
      <c r="G12" s="35">
        <f>5571.84*1.25-G13</f>
        <v>6675.8</v>
      </c>
      <c r="H12" s="36">
        <f t="shared" si="2"/>
        <v>4.760548164021343</v>
      </c>
      <c r="I12" s="35">
        <f>2060.8*1.25-I13</f>
        <v>2020</v>
      </c>
      <c r="J12" s="36">
        <f t="shared" si="3"/>
        <v>1.8223538767646723</v>
      </c>
      <c r="K12" s="35">
        <f>2794.8*1.25-K13</f>
        <v>3354.5</v>
      </c>
      <c r="L12" s="36">
        <f t="shared" si="4"/>
        <v>2.8493271230544917</v>
      </c>
      <c r="M12" s="35">
        <f>3479.76*1.25-M13</f>
        <v>3376.7000000000007</v>
      </c>
      <c r="N12" s="36">
        <f t="shared" si="5"/>
        <v>2.2648238158293865</v>
      </c>
      <c r="O12" s="35">
        <f>1.25*4886-O13</f>
        <v>5134.5</v>
      </c>
      <c r="P12" s="36">
        <f t="shared" si="6"/>
        <v>2.698696773074527</v>
      </c>
      <c r="Q12" s="18"/>
    </row>
    <row r="13" spans="1:17" ht="15">
      <c r="A13" s="20"/>
      <c r="B13" s="28" t="s">
        <v>40</v>
      </c>
      <c r="C13" s="35">
        <f>1.25*0</f>
        <v>0</v>
      </c>
      <c r="D13" s="36">
        <f t="shared" si="0"/>
        <v>0</v>
      </c>
      <c r="E13" s="35">
        <f>1.25*0</f>
        <v>0</v>
      </c>
      <c r="F13" s="36">
        <f t="shared" si="1"/>
        <v>0</v>
      </c>
      <c r="G13" s="35">
        <f>1.25*231.2</f>
        <v>289</v>
      </c>
      <c r="H13" s="36">
        <f t="shared" si="2"/>
        <v>0.20608742314062256</v>
      </c>
      <c r="I13" s="35">
        <f>1.25*444.8</f>
        <v>556</v>
      </c>
      <c r="J13" s="36">
        <f t="shared" si="3"/>
        <v>0.5015983938025533</v>
      </c>
      <c r="K13" s="35">
        <f>1.25*111.2</f>
        <v>139</v>
      </c>
      <c r="L13" s="36">
        <f t="shared" si="4"/>
        <v>0.11806721422106853</v>
      </c>
      <c r="M13" s="35">
        <f>1.25*778.4</f>
        <v>973</v>
      </c>
      <c r="N13" s="36">
        <f t="shared" si="5"/>
        <v>0.6526115949897807</v>
      </c>
      <c r="O13" s="35">
        <f>1.25*778.4</f>
        <v>973</v>
      </c>
      <c r="P13" s="36">
        <f t="shared" si="6"/>
        <v>0.5114094771061476</v>
      </c>
      <c r="Q13" s="18"/>
    </row>
    <row r="14" spans="1:17" ht="15">
      <c r="A14" s="20"/>
      <c r="B14" s="28" t="s">
        <v>41</v>
      </c>
      <c r="C14" s="35">
        <f>1.25*462.4</f>
        <v>578</v>
      </c>
      <c r="D14" s="36">
        <f t="shared" si="0"/>
        <v>10.943860645649911</v>
      </c>
      <c r="E14" s="35">
        <f>1.25*127.2</f>
        <v>159</v>
      </c>
      <c r="F14" s="36">
        <f t="shared" si="1"/>
        <v>1.2544626126748064</v>
      </c>
      <c r="G14" s="35">
        <f>1.25*6945.2</f>
        <v>8681.5</v>
      </c>
      <c r="H14" s="36">
        <f t="shared" si="2"/>
        <v>6.190823404828079</v>
      </c>
      <c r="I14" s="35">
        <f>1.25*5207.2</f>
        <v>6509</v>
      </c>
      <c r="J14" s="36">
        <f t="shared" si="3"/>
        <v>5.872129397951115</v>
      </c>
      <c r="K14" s="35">
        <f>1.25*4948.8</f>
        <v>6186</v>
      </c>
      <c r="L14" s="36">
        <f t="shared" si="4"/>
        <v>5.254415735046978</v>
      </c>
      <c r="M14" s="35">
        <f>1.25*6453.6</f>
        <v>8067</v>
      </c>
      <c r="N14" s="36">
        <f t="shared" si="5"/>
        <v>5.410706820948162</v>
      </c>
      <c r="O14" s="35">
        <f>1.25*6677.68</f>
        <v>8347.1</v>
      </c>
      <c r="P14" s="36">
        <f t="shared" si="6"/>
        <v>4.387241568707837</v>
      </c>
      <c r="Q14" s="18"/>
    </row>
    <row r="15" spans="1:17" ht="15">
      <c r="A15" s="20"/>
      <c r="B15" s="28" t="s">
        <v>42</v>
      </c>
      <c r="C15" s="35">
        <f>1.25*230.4</f>
        <v>288</v>
      </c>
      <c r="D15" s="36">
        <f>100*C15/C$26</f>
        <v>6.816245384833854</v>
      </c>
      <c r="E15" s="35">
        <f>1.25*60</f>
        <v>75</v>
      </c>
      <c r="F15" s="36">
        <f>100*E15/E$26</f>
        <v>0.7396595593601453</v>
      </c>
      <c r="G15" s="35">
        <f>1.25*5750.11</f>
        <v>7187.6375</v>
      </c>
      <c r="H15" s="36">
        <f>100*G15/G$26</f>
        <v>6.406927728563609</v>
      </c>
      <c r="I15" s="35">
        <f>1.25*3184.96</f>
        <v>3981.2</v>
      </c>
      <c r="J15" s="36">
        <f>100*I15/I$26</f>
        <v>4.489576271148214</v>
      </c>
      <c r="K15" s="35">
        <f>1.25*4468.72</f>
        <v>5585.900000000001</v>
      </c>
      <c r="L15" s="36">
        <f>100*K15/K$26</f>
        <v>5.930860179113909</v>
      </c>
      <c r="M15" s="35">
        <f>1.25*3527.3</f>
        <v>4409.125</v>
      </c>
      <c r="N15" s="36">
        <f>100*M15/M$26</f>
        <v>3.6966162625376633</v>
      </c>
      <c r="O15" s="35">
        <f>1.25*7004.6</f>
        <v>8755.75</v>
      </c>
      <c r="P15" s="36">
        <f>100*O15/O$26</f>
        <v>5.752535366356825</v>
      </c>
      <c r="Q15" s="18"/>
    </row>
    <row r="16" spans="1:17" ht="15">
      <c r="A16" s="20"/>
      <c r="B16" s="28" t="s">
        <v>43</v>
      </c>
      <c r="C16" s="35">
        <f>1.25*332</f>
        <v>415</v>
      </c>
      <c r="D16" s="36">
        <f aca="true" t="shared" si="7" ref="D16:D24">80*C16/C$26</f>
        <v>7.857616207516804</v>
      </c>
      <c r="E16" s="35">
        <f>1.25*1407.2</f>
        <v>1759</v>
      </c>
      <c r="F16" s="36">
        <f aca="true" t="shared" si="8" ref="F16:F24">80*E16/E$26</f>
        <v>13.877985759087952</v>
      </c>
      <c r="G16" s="35">
        <f>1.25*5640.16</f>
        <v>7050.2</v>
      </c>
      <c r="H16" s="36">
        <f aca="true" t="shared" si="9" ref="H16:H24">80*G16/G$26</f>
        <v>5.027534777252654</v>
      </c>
      <c r="I16" s="35">
        <f>1.25*3449.84</f>
        <v>4312.3</v>
      </c>
      <c r="J16" s="36">
        <f aca="true" t="shared" si="10" ref="J16:J24">80*I16/I$26</f>
        <v>3.8903646647387604</v>
      </c>
      <c r="K16" s="35">
        <f>1.25*3269.76</f>
        <v>4087.2000000000003</v>
      </c>
      <c r="L16" s="36">
        <f aca="true" t="shared" si="11" ref="L16:L24">80*K16/K$26</f>
        <v>3.4716857407507287</v>
      </c>
      <c r="M16" s="35">
        <f>1.25*3651.76</f>
        <v>4564.700000000001</v>
      </c>
      <c r="N16" s="36">
        <f aca="true" t="shared" si="12" ref="N16:N24">80*M16/M$26</f>
        <v>3.0616404395168066</v>
      </c>
      <c r="O16" s="35">
        <f>1.25*2640.72</f>
        <v>3300.8999999999996</v>
      </c>
      <c r="P16" s="36">
        <f aca="true" t="shared" si="13" ref="P16:P24">80*O16/O$26</f>
        <v>1.7349553370808661</v>
      </c>
      <c r="Q16" s="18"/>
    </row>
    <row r="17" spans="1:17" ht="15">
      <c r="A17" s="20"/>
      <c r="B17" s="28" t="s">
        <v>44</v>
      </c>
      <c r="C17" s="35">
        <f>1.25*746.4</f>
        <v>933</v>
      </c>
      <c r="D17" s="36">
        <f t="shared" si="7"/>
        <v>17.665435955694406</v>
      </c>
      <c r="E17" s="35">
        <f>1.25*927.2</f>
        <v>1159</v>
      </c>
      <c r="F17" s="36">
        <f t="shared" si="8"/>
        <v>9.144164579183022</v>
      </c>
      <c r="G17" s="35">
        <f>1.25*4357.76</f>
        <v>5447.200000000001</v>
      </c>
      <c r="H17" s="36">
        <f t="shared" si="9"/>
        <v>3.8844270288290637</v>
      </c>
      <c r="I17" s="35">
        <f>1.25*4526.4</f>
        <v>5658</v>
      </c>
      <c r="J17" s="36">
        <f t="shared" si="10"/>
        <v>5.104395165710156</v>
      </c>
      <c r="K17" s="35">
        <f>1.25*3870.48</f>
        <v>4838.1</v>
      </c>
      <c r="L17" s="36">
        <f t="shared" si="11"/>
        <v>4.109503518870156</v>
      </c>
      <c r="M17" s="35">
        <f>1.25*4684.4</f>
        <v>5855.5</v>
      </c>
      <c r="N17" s="36">
        <f t="shared" si="12"/>
        <v>3.927407188553609</v>
      </c>
      <c r="O17" s="35">
        <f>1.25*4206.56</f>
        <v>5258.200000000001</v>
      </c>
      <c r="P17" s="36">
        <f t="shared" si="13"/>
        <v>2.763713579156779</v>
      </c>
      <c r="Q17" s="18"/>
    </row>
    <row r="18" spans="1:17" ht="15">
      <c r="A18" s="20"/>
      <c r="B18" s="28" t="s">
        <v>45</v>
      </c>
      <c r="C18" s="35">
        <f>1.25*0</f>
        <v>0</v>
      </c>
      <c r="D18" s="36">
        <f t="shared" si="7"/>
        <v>0</v>
      </c>
      <c r="E18" s="35">
        <f>1.25*134.4</f>
        <v>168</v>
      </c>
      <c r="F18" s="36">
        <f t="shared" si="8"/>
        <v>1.3254699303733803</v>
      </c>
      <c r="G18" s="35">
        <f>1.25*1867.14</f>
        <v>2333.925</v>
      </c>
      <c r="H18" s="36">
        <f t="shared" si="9"/>
        <v>1.6643342181781229</v>
      </c>
      <c r="I18" s="35">
        <f>1.25*1517.76</f>
        <v>1897.2</v>
      </c>
      <c r="J18" s="36">
        <f t="shared" si="10"/>
        <v>1.7115691955435328</v>
      </c>
      <c r="K18" s="35">
        <f>1.25*1711.2</f>
        <v>2139</v>
      </c>
      <c r="L18" s="36">
        <f t="shared" si="11"/>
        <v>1.8168760519342848</v>
      </c>
      <c r="M18" s="35">
        <f>1.25*1924</f>
        <v>2405</v>
      </c>
      <c r="N18" s="36">
        <f t="shared" si="12"/>
        <v>1.6130841582224282</v>
      </c>
      <c r="O18" s="35">
        <f>1.25*2943.36</f>
        <v>3679.2000000000003</v>
      </c>
      <c r="P18" s="36">
        <f t="shared" si="13"/>
        <v>1.933790080338066</v>
      </c>
      <c r="Q18" s="18"/>
    </row>
    <row r="19" spans="1:17" ht="15">
      <c r="A19" s="20"/>
      <c r="B19" s="28" t="s">
        <v>46</v>
      </c>
      <c r="C19" s="35">
        <f>1.25*0</f>
        <v>0</v>
      </c>
      <c r="D19" s="36">
        <f t="shared" si="7"/>
        <v>0</v>
      </c>
      <c r="E19" s="35">
        <f>1.25*24</f>
        <v>30</v>
      </c>
      <c r="F19" s="36">
        <f t="shared" si="8"/>
        <v>0.23669105899524648</v>
      </c>
      <c r="G19" s="35">
        <f>1.25*1000.8</f>
        <v>1251</v>
      </c>
      <c r="H19" s="36">
        <f t="shared" si="9"/>
        <v>0.892094693248854</v>
      </c>
      <c r="I19" s="35">
        <f>1.25*2028.4</f>
        <v>2535.5</v>
      </c>
      <c r="J19" s="36">
        <f t="shared" si="10"/>
        <v>2.287414977493478</v>
      </c>
      <c r="K19" s="35">
        <f>1.25*2003.52</f>
        <v>2504.4</v>
      </c>
      <c r="L19" s="36">
        <f t="shared" si="11"/>
        <v>2.1272484265844893</v>
      </c>
      <c r="M19" s="35">
        <f>1.25*2873.6</f>
        <v>3592</v>
      </c>
      <c r="N19" s="36">
        <f t="shared" si="12"/>
        <v>2.4092300608461383</v>
      </c>
      <c r="O19" s="35">
        <f>1.25*2674.24</f>
        <v>3342.7999999999997</v>
      </c>
      <c r="P19" s="36">
        <f t="shared" si="13"/>
        <v>1.75697800623888</v>
      </c>
      <c r="Q19" s="18"/>
    </row>
    <row r="20" spans="1:17" ht="15">
      <c r="A20" s="20"/>
      <c r="B20" s="28" t="s">
        <v>47</v>
      </c>
      <c r="C20" s="35">
        <f>1.25*152</f>
        <v>190</v>
      </c>
      <c r="D20" s="36">
        <f t="shared" si="7"/>
        <v>3.5974628419956454</v>
      </c>
      <c r="E20" s="35">
        <f>1.25*0</f>
        <v>0</v>
      </c>
      <c r="F20" s="36">
        <f t="shared" si="8"/>
        <v>0</v>
      </c>
      <c r="G20" s="35">
        <f>1.25*55.2</f>
        <v>69</v>
      </c>
      <c r="H20" s="36">
        <f t="shared" si="9"/>
        <v>0.04920426365641162</v>
      </c>
      <c r="I20" s="35">
        <f>1.25*0</f>
        <v>0</v>
      </c>
      <c r="J20" s="36">
        <f t="shared" si="10"/>
        <v>0</v>
      </c>
      <c r="K20" s="35">
        <f>1.25*95.2</f>
        <v>119</v>
      </c>
      <c r="L20" s="36">
        <f t="shared" si="11"/>
        <v>0.10107912584393636</v>
      </c>
      <c r="M20" s="35">
        <f>1.25*71.2</f>
        <v>89</v>
      </c>
      <c r="N20" s="36">
        <f t="shared" si="12"/>
        <v>0.05969417467018549</v>
      </c>
      <c r="O20" s="35">
        <f>1.25*0</f>
        <v>0</v>
      </c>
      <c r="P20" s="36">
        <f t="shared" si="13"/>
        <v>0</v>
      </c>
      <c r="Q20" s="18"/>
    </row>
    <row r="21" spans="1:17" ht="15">
      <c r="A21" s="20"/>
      <c r="B21" s="28" t="s">
        <v>48</v>
      </c>
      <c r="C21" s="35">
        <v>190</v>
      </c>
      <c r="D21" s="36">
        <f t="shared" si="7"/>
        <v>3.5974628419956454</v>
      </c>
      <c r="E21" s="35">
        <v>29</v>
      </c>
      <c r="F21" s="36">
        <f t="shared" si="8"/>
        <v>0.22880135702873824</v>
      </c>
      <c r="G21" s="35">
        <v>320</v>
      </c>
      <c r="H21" s="36">
        <f t="shared" si="9"/>
        <v>0.22819368652248864</v>
      </c>
      <c r="I21" s="35">
        <v>579</v>
      </c>
      <c r="J21" s="36">
        <f t="shared" si="10"/>
        <v>0.5223479676469036</v>
      </c>
      <c r="K21" s="35">
        <v>263</v>
      </c>
      <c r="L21" s="36">
        <f t="shared" si="11"/>
        <v>0.22339336215928793</v>
      </c>
      <c r="M21" s="35">
        <v>427</v>
      </c>
      <c r="N21" s="36">
        <f t="shared" si="12"/>
        <v>0.2863978942041484</v>
      </c>
      <c r="O21" s="35">
        <v>388</v>
      </c>
      <c r="P21" s="36">
        <f t="shared" si="13"/>
        <v>0.20393307000738467</v>
      </c>
      <c r="Q21" s="18"/>
    </row>
    <row r="22" spans="1:17" ht="15">
      <c r="A22" s="20"/>
      <c r="B22" s="28" t="s">
        <v>60</v>
      </c>
      <c r="C22" s="35">
        <f>1.25*0</f>
        <v>0</v>
      </c>
      <c r="D22" s="36">
        <f t="shared" si="7"/>
        <v>0</v>
      </c>
      <c r="E22" s="35">
        <f>1.25*0</f>
        <v>0</v>
      </c>
      <c r="F22" s="36">
        <f t="shared" si="8"/>
        <v>0</v>
      </c>
      <c r="G22" s="35">
        <f>1.25*4531.76</f>
        <v>5664.700000000001</v>
      </c>
      <c r="H22" s="36">
        <f t="shared" si="9"/>
        <v>4.039527425137318</v>
      </c>
      <c r="I22" s="35">
        <f>1.25*2000.24</f>
        <v>2500.3</v>
      </c>
      <c r="J22" s="36">
        <f t="shared" si="10"/>
        <v>2.255659107957777</v>
      </c>
      <c r="K22" s="35">
        <f>1.25*3564</f>
        <v>4455</v>
      </c>
      <c r="L22" s="36">
        <f t="shared" si="11"/>
        <v>3.784096686006189</v>
      </c>
      <c r="M22" s="35">
        <f>1.25*2524.48</f>
        <v>3155.6</v>
      </c>
      <c r="N22" s="36">
        <f t="shared" si="12"/>
        <v>2.1165273886431164</v>
      </c>
      <c r="O22" s="35">
        <f>1.25*5159.72</f>
        <v>6449.650000000001</v>
      </c>
      <c r="P22" s="36">
        <f t="shared" si="13"/>
        <v>3.3899405282812594</v>
      </c>
      <c r="Q22" s="18"/>
    </row>
    <row r="23" spans="1:17" ht="15">
      <c r="A23" s="20"/>
      <c r="B23" s="28" t="s">
        <v>49</v>
      </c>
      <c r="C23" s="35">
        <f>1.25*0</f>
        <v>0</v>
      </c>
      <c r="D23" s="36">
        <f t="shared" si="7"/>
        <v>0</v>
      </c>
      <c r="E23" s="35">
        <f>1.25*232</f>
        <v>290</v>
      </c>
      <c r="F23" s="36">
        <f t="shared" si="8"/>
        <v>2.2880135702873825</v>
      </c>
      <c r="G23" s="35">
        <f>1.25*2112</f>
        <v>2640</v>
      </c>
      <c r="H23" s="36">
        <f t="shared" si="9"/>
        <v>1.8825979138105313</v>
      </c>
      <c r="I23" s="35">
        <f>1.25*7538.8</f>
        <v>9423.5</v>
      </c>
      <c r="J23" s="36">
        <f t="shared" si="10"/>
        <v>8.501461266184103</v>
      </c>
      <c r="K23" s="35">
        <f>1.25*1861.2</f>
        <v>2326.5</v>
      </c>
      <c r="L23" s="36">
        <f t="shared" si="11"/>
        <v>1.9761393804698988</v>
      </c>
      <c r="M23" s="35">
        <f>1.25*4382.4</f>
        <v>5478</v>
      </c>
      <c r="N23" s="36">
        <f t="shared" si="12"/>
        <v>3.6742099870031026</v>
      </c>
      <c r="O23" s="35">
        <f>1.25*4325.2</f>
        <v>5406.5</v>
      </c>
      <c r="P23" s="36">
        <f t="shared" si="13"/>
        <v>2.8416601623580546</v>
      </c>
      <c r="Q23" s="18"/>
    </row>
    <row r="24" spans="1:17" ht="15.75" thickBot="1">
      <c r="A24" s="20"/>
      <c r="B24" s="28" t="s">
        <v>50</v>
      </c>
      <c r="C24" s="35">
        <f>1.25*3.2</f>
        <v>4</v>
      </c>
      <c r="D24" s="36">
        <f t="shared" si="7"/>
        <v>0.07573605983148728</v>
      </c>
      <c r="E24" s="35">
        <f>1.25*3.2</f>
        <v>4</v>
      </c>
      <c r="F24" s="36">
        <f t="shared" si="8"/>
        <v>0.031558807866032865</v>
      </c>
      <c r="G24" s="35">
        <f>1.25*150.4</f>
        <v>188</v>
      </c>
      <c r="H24" s="36">
        <f t="shared" si="9"/>
        <v>0.13406379083196207</v>
      </c>
      <c r="I24" s="35">
        <f>1.25*96</f>
        <v>120</v>
      </c>
      <c r="J24" s="36">
        <f t="shared" si="10"/>
        <v>0.10825864614443598</v>
      </c>
      <c r="K24" s="35">
        <f>1.25*73.6</f>
        <v>92</v>
      </c>
      <c r="L24" s="36">
        <f t="shared" si="11"/>
        <v>0.07814520653480794</v>
      </c>
      <c r="M24" s="35">
        <f>1.25*102.4</f>
        <v>128</v>
      </c>
      <c r="N24" s="36">
        <f t="shared" si="12"/>
        <v>0.08585229615487353</v>
      </c>
      <c r="O24" s="35">
        <f>1.25*227.2</f>
        <v>284</v>
      </c>
      <c r="P24" s="36">
        <f t="shared" si="13"/>
        <v>0.14927059763427125</v>
      </c>
      <c r="Q24" s="18"/>
    </row>
    <row r="25" spans="1:17" ht="16.5" thickBot="1" thickTop="1">
      <c r="A25" s="20"/>
      <c r="B25" s="27" t="s">
        <v>9</v>
      </c>
      <c r="C25" s="33">
        <f>SUM(C4:C24)</f>
        <v>5234</v>
      </c>
      <c r="D25" s="34"/>
      <c r="E25" s="33">
        <f>SUM(E4:E24)</f>
        <v>12667.5</v>
      </c>
      <c r="F25" s="34"/>
      <c r="G25" s="33">
        <f>SUM(G4:G24)</f>
        <v>140151.75</v>
      </c>
      <c r="H25" s="34"/>
      <c r="I25" s="33">
        <f>SUM(I4:I24)</f>
        <v>110700.9</v>
      </c>
      <c r="J25" s="34"/>
      <c r="K25" s="33">
        <f>SUM(K4:K24)</f>
        <v>117663.8</v>
      </c>
      <c r="L25" s="34"/>
      <c r="M25" s="33">
        <f>SUM(M4:M24)</f>
        <v>148986.525</v>
      </c>
      <c r="N25" s="34"/>
      <c r="O25" s="33">
        <f>SUM(O4:O24)</f>
        <v>190161.5</v>
      </c>
      <c r="P25" s="34"/>
      <c r="Q25" s="18"/>
    </row>
    <row r="26" spans="1:17" ht="16.5" thickBot="1" thickTop="1">
      <c r="A26" s="20"/>
      <c r="B26" s="27" t="s">
        <v>10</v>
      </c>
      <c r="C26" s="33">
        <f>C25*0.8+C21*0.2</f>
        <v>4225.2</v>
      </c>
      <c r="D26" s="34"/>
      <c r="E26" s="33">
        <f>E25*0.8+E21*0.2</f>
        <v>10139.8</v>
      </c>
      <c r="F26" s="34"/>
      <c r="G26" s="33">
        <f>G25*0.8+G21*0.2</f>
        <v>112185.40000000001</v>
      </c>
      <c r="H26" s="34"/>
      <c r="I26" s="33">
        <f>I25*0.8+I21*0.2</f>
        <v>88676.52</v>
      </c>
      <c r="J26" s="34"/>
      <c r="K26" s="33">
        <f>K25*0.8+K21*0.2</f>
        <v>94183.64000000001</v>
      </c>
      <c r="L26" s="34"/>
      <c r="M26" s="33">
        <f>M25*0.8+M21*0.2</f>
        <v>119274.62</v>
      </c>
      <c r="N26" s="34"/>
      <c r="O26" s="33">
        <f>O25*0.8+O21*0.2</f>
        <v>152206.80000000002</v>
      </c>
      <c r="P26" s="34"/>
      <c r="Q26" s="18"/>
    </row>
    <row r="27" spans="1:17" ht="16.5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6.5" thickBot="1" thickTop="1">
      <c r="A28" s="32"/>
      <c r="B28" s="27" t="s">
        <v>11</v>
      </c>
      <c r="C28" s="38"/>
      <c r="D28" s="5">
        <v>2</v>
      </c>
      <c r="E28" s="38"/>
      <c r="F28" s="5">
        <v>3</v>
      </c>
      <c r="G28" s="38"/>
      <c r="H28" s="5">
        <v>27</v>
      </c>
      <c r="I28" s="38"/>
      <c r="J28" s="5">
        <v>22</v>
      </c>
      <c r="K28" s="38"/>
      <c r="L28" s="5">
        <v>24</v>
      </c>
      <c r="M28" s="38"/>
      <c r="N28" s="5">
        <v>25</v>
      </c>
      <c r="O28" s="38"/>
      <c r="P28" s="5">
        <v>27</v>
      </c>
      <c r="Q28" s="57"/>
    </row>
    <row r="29" spans="1:17" ht="16.5" thickBot="1" thickTop="1">
      <c r="A29" s="20"/>
      <c r="B29" s="27" t="s">
        <v>12</v>
      </c>
      <c r="C29" s="38">
        <f>C25/D28</f>
        <v>2617</v>
      </c>
      <c r="D29" s="37"/>
      <c r="E29" s="38">
        <f>E25/F28</f>
        <v>4222.5</v>
      </c>
      <c r="F29" s="37"/>
      <c r="G29" s="38">
        <f>G25/H28</f>
        <v>5190.805555555556</v>
      </c>
      <c r="H29" s="37"/>
      <c r="I29" s="38">
        <f>I25/J28</f>
        <v>5031.859090909091</v>
      </c>
      <c r="J29" s="37"/>
      <c r="K29" s="38">
        <f>K25/L28</f>
        <v>4902.658333333334</v>
      </c>
      <c r="L29" s="37"/>
      <c r="M29" s="38">
        <f>M25/N28</f>
        <v>5959.460999999999</v>
      </c>
      <c r="N29" s="37"/>
      <c r="O29" s="38">
        <f>O25/P28</f>
        <v>7043.018518518518</v>
      </c>
      <c r="P29" s="37"/>
      <c r="Q29" s="19"/>
    </row>
    <row r="30" spans="1:17" ht="16.5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6.5" thickBot="1" thickTop="1">
      <c r="A31" s="32"/>
      <c r="B31" s="61" t="s">
        <v>77</v>
      </c>
      <c r="C31" s="38">
        <v>3165</v>
      </c>
      <c r="D31" s="37"/>
      <c r="E31" s="38">
        <v>3883</v>
      </c>
      <c r="F31" s="37"/>
      <c r="G31" s="38">
        <v>2428</v>
      </c>
      <c r="H31" s="37"/>
      <c r="I31" s="38">
        <v>3776</v>
      </c>
      <c r="J31" s="37"/>
      <c r="K31" s="38">
        <v>6515</v>
      </c>
      <c r="L31" s="37"/>
      <c r="M31" s="38">
        <v>6886</v>
      </c>
      <c r="N31" s="37"/>
      <c r="O31" s="38">
        <v>7705</v>
      </c>
      <c r="P31" s="37"/>
      <c r="Q31" s="56"/>
    </row>
    <row r="32" spans="1:17" ht="16.5" thickBot="1" thickTop="1">
      <c r="A32" s="32"/>
      <c r="B32" s="52" t="s">
        <v>73</v>
      </c>
      <c r="C32" s="53">
        <v>2879</v>
      </c>
      <c r="D32" s="54"/>
      <c r="E32" s="53">
        <v>3709</v>
      </c>
      <c r="F32" s="54"/>
      <c r="G32" s="53">
        <v>3804</v>
      </c>
      <c r="H32" s="54"/>
      <c r="I32" s="53">
        <v>4411</v>
      </c>
      <c r="J32" s="54"/>
      <c r="K32" s="53">
        <v>5754</v>
      </c>
      <c r="L32" s="54"/>
      <c r="M32" s="53">
        <v>6409</v>
      </c>
      <c r="N32" s="54"/>
      <c r="O32" s="53">
        <v>6131</v>
      </c>
      <c r="P32" s="55"/>
      <c r="Q32" s="56"/>
    </row>
    <row r="33" spans="1:17" ht="16.5" thickBot="1" thickTop="1">
      <c r="A33" s="20"/>
      <c r="B33" s="26"/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9"/>
      <c r="P33" s="32"/>
      <c r="Q33" s="20"/>
    </row>
    <row r="34" spans="1:17" ht="16.5" thickBot="1" thickTop="1">
      <c r="A34" s="20"/>
      <c r="B34" s="27" t="s">
        <v>0</v>
      </c>
      <c r="C34" s="49" t="s">
        <v>13</v>
      </c>
      <c r="D34" s="47" t="s">
        <v>2</v>
      </c>
      <c r="E34" s="49" t="s">
        <v>14</v>
      </c>
      <c r="F34" s="47" t="s">
        <v>2</v>
      </c>
      <c r="G34" s="49" t="s">
        <v>15</v>
      </c>
      <c r="H34" s="47" t="s">
        <v>2</v>
      </c>
      <c r="I34" s="49" t="s">
        <v>16</v>
      </c>
      <c r="J34" s="47" t="s">
        <v>2</v>
      </c>
      <c r="K34" s="49" t="s">
        <v>17</v>
      </c>
      <c r="L34" s="47" t="s">
        <v>2</v>
      </c>
      <c r="M34" s="49" t="s">
        <v>18</v>
      </c>
      <c r="N34" s="48"/>
      <c r="O34" s="50" t="s">
        <v>19</v>
      </c>
      <c r="P34" s="47" t="s">
        <v>2</v>
      </c>
      <c r="Q34" s="18"/>
    </row>
    <row r="35" spans="1:18" ht="16.5" thickTop="1">
      <c r="A35" s="20"/>
      <c r="B35" s="27" t="s">
        <v>31</v>
      </c>
      <c r="C35" s="33">
        <f>1.25*10378.08</f>
        <v>12972.6</v>
      </c>
      <c r="D35" s="34">
        <f aca="true" t="shared" si="14" ref="D35:D45">80*C35/C$57</f>
        <v>8.278217432269578</v>
      </c>
      <c r="E35" s="33">
        <f>1.25*9538.08</f>
        <v>11922.6</v>
      </c>
      <c r="F35" s="34">
        <f aca="true" t="shared" si="15" ref="F35:F45">80*E35/E$57</f>
        <v>9.65802103158707</v>
      </c>
      <c r="G35" s="33">
        <f>1.25*10564.08</f>
        <v>13205.1</v>
      </c>
      <c r="H35" s="34">
        <f aca="true" t="shared" si="16" ref="H35:H45">80*G35/G$57</f>
        <v>9.932813917417983</v>
      </c>
      <c r="I35" s="33">
        <f>1.25*12106.64</f>
        <v>15133.3</v>
      </c>
      <c r="J35" s="34">
        <f aca="true" t="shared" si="17" ref="J35:J45">80*I35/I$57</f>
        <v>8.374108784892925</v>
      </c>
      <c r="K35" s="33">
        <f>1.25*23926.4</f>
        <v>29908</v>
      </c>
      <c r="L35" s="34">
        <f aca="true" t="shared" si="18" ref="L35:L45">80*K35/K$57</f>
        <v>8.520196330871517</v>
      </c>
      <c r="M35" s="33"/>
      <c r="N35" s="40"/>
      <c r="O35" s="38">
        <f aca="true" t="shared" si="19" ref="O35:O55">C4+E4+G4+I4+K4+M4+O4+C35+E35+G35+I35+K35+M35</f>
        <v>144867.90000000002</v>
      </c>
      <c r="P35" s="34">
        <f aca="true" t="shared" si="20" ref="P35:P45">O35*80/$O$57</f>
        <v>8.669768765710332</v>
      </c>
      <c r="Q35" s="18"/>
      <c r="R35" s="60"/>
    </row>
    <row r="36" spans="1:17" ht="15">
      <c r="A36" s="20"/>
      <c r="B36" s="28" t="s">
        <v>32</v>
      </c>
      <c r="C36" s="35">
        <f>1.25*7048.88</f>
        <v>8811.1</v>
      </c>
      <c r="D36" s="36">
        <f t="shared" si="14"/>
        <v>5.622635525451373</v>
      </c>
      <c r="E36" s="35">
        <f>1.25*6730.08</f>
        <v>8412.6</v>
      </c>
      <c r="F36" s="36">
        <f t="shared" si="15"/>
        <v>6.8147105270938715</v>
      </c>
      <c r="G36" s="35">
        <f>1.25*6042.48</f>
        <v>7553.099999999999</v>
      </c>
      <c r="H36" s="36">
        <f t="shared" si="16"/>
        <v>5.681406183947851</v>
      </c>
      <c r="I36" s="35">
        <f>1.25*4912.4</f>
        <v>6140.5</v>
      </c>
      <c r="J36" s="36">
        <f t="shared" si="17"/>
        <v>3.397885127079686</v>
      </c>
      <c r="K36" s="35">
        <f>1.25*13380.8</f>
        <v>16726</v>
      </c>
      <c r="L36" s="36">
        <f t="shared" si="18"/>
        <v>4.764905838911227</v>
      </c>
      <c r="M36" s="35"/>
      <c r="N36" s="41"/>
      <c r="O36" s="42">
        <f t="shared" si="19"/>
        <v>95907.5</v>
      </c>
      <c r="P36" s="36">
        <f t="shared" si="20"/>
        <v>5.739683172720551</v>
      </c>
      <c r="Q36" s="18"/>
    </row>
    <row r="37" spans="1:17" ht="15">
      <c r="A37" s="20"/>
      <c r="B37" s="28" t="s">
        <v>33</v>
      </c>
      <c r="C37" s="35">
        <f>1.25*4688.08</f>
        <v>5860.1</v>
      </c>
      <c r="D37" s="36">
        <f t="shared" si="14"/>
        <v>3.7395111215055543</v>
      </c>
      <c r="E37" s="35">
        <f>1.25*3373.6</f>
        <v>4217</v>
      </c>
      <c r="F37" s="36">
        <f t="shared" si="15"/>
        <v>3.4160229052557898</v>
      </c>
      <c r="G37" s="35">
        <f>1.25*3753.2</f>
        <v>4691.5</v>
      </c>
      <c r="H37" s="36">
        <f t="shared" si="16"/>
        <v>3.5289241651760657</v>
      </c>
      <c r="I37" s="35">
        <f>1.25*3900.88</f>
        <v>4876.1</v>
      </c>
      <c r="J37" s="36">
        <f t="shared" si="17"/>
        <v>2.6982212634399896</v>
      </c>
      <c r="K37" s="35">
        <f>1.25*8304.08</f>
        <v>10380.1</v>
      </c>
      <c r="L37" s="36">
        <f t="shared" si="18"/>
        <v>2.957084724290472</v>
      </c>
      <c r="M37" s="35"/>
      <c r="N37" s="41"/>
      <c r="O37" s="42">
        <f t="shared" si="19"/>
        <v>50723.2</v>
      </c>
      <c r="P37" s="36">
        <f t="shared" si="20"/>
        <v>3.035582175601898</v>
      </c>
      <c r="Q37" s="18"/>
    </row>
    <row r="38" spans="1:17" ht="15">
      <c r="A38" s="20"/>
      <c r="B38" s="28" t="s">
        <v>34</v>
      </c>
      <c r="C38" s="35">
        <f>1.25*5173.6</f>
        <v>6467</v>
      </c>
      <c r="D38" s="36">
        <f t="shared" si="14"/>
        <v>4.126792788992751</v>
      </c>
      <c r="E38" s="35">
        <f>1.25*5869.68</f>
        <v>7337.1</v>
      </c>
      <c r="F38" s="36">
        <f t="shared" si="15"/>
        <v>5.943491026358135</v>
      </c>
      <c r="G38" s="35">
        <f>1.25*9129.84</f>
        <v>11412.3</v>
      </c>
      <c r="H38" s="36">
        <f t="shared" si="16"/>
        <v>8.584278215973317</v>
      </c>
      <c r="I38" s="35">
        <f>1.25*13608.48</f>
        <v>17010.6</v>
      </c>
      <c r="J38" s="36">
        <f t="shared" si="17"/>
        <v>9.41292480135196</v>
      </c>
      <c r="K38" s="35">
        <f>1.25*32488.97</f>
        <v>40611.2125</v>
      </c>
      <c r="L38" s="36">
        <f t="shared" si="18"/>
        <v>11.569329401322172</v>
      </c>
      <c r="M38" s="35"/>
      <c r="N38" s="41"/>
      <c r="O38" s="42">
        <f t="shared" si="19"/>
        <v>107983.82499999998</v>
      </c>
      <c r="P38" s="36">
        <f t="shared" si="20"/>
        <v>6.462403287318516</v>
      </c>
      <c r="Q38" s="18"/>
    </row>
    <row r="39" spans="1:17" ht="15">
      <c r="A39" s="20"/>
      <c r="B39" s="28" t="s">
        <v>35</v>
      </c>
      <c r="C39" s="35">
        <f>1.25*11628.56</f>
        <v>14535.699999999999</v>
      </c>
      <c r="D39" s="36">
        <f t="shared" si="14"/>
        <v>9.27567990458666</v>
      </c>
      <c r="E39" s="35">
        <f>1.25*8058.4</f>
        <v>10073</v>
      </c>
      <c r="F39" s="36">
        <f t="shared" si="15"/>
        <v>8.159734105914529</v>
      </c>
      <c r="G39" s="35">
        <f>1.25*9352.96</f>
        <v>11691.199999999999</v>
      </c>
      <c r="H39" s="36">
        <f t="shared" si="16"/>
        <v>8.794065480103681</v>
      </c>
      <c r="I39" s="35">
        <f>1.25*12526.96</f>
        <v>15658.699999999999</v>
      </c>
      <c r="J39" s="36">
        <f t="shared" si="17"/>
        <v>8.66484225053378</v>
      </c>
      <c r="K39" s="35">
        <f>1.25*19619.6</f>
        <v>24524.5</v>
      </c>
      <c r="L39" s="36">
        <f t="shared" si="18"/>
        <v>6.98654389850403</v>
      </c>
      <c r="M39" s="35"/>
      <c r="N39" s="41"/>
      <c r="O39" s="42">
        <f t="shared" si="19"/>
        <v>142223.39999999997</v>
      </c>
      <c r="P39" s="36">
        <f t="shared" si="20"/>
        <v>8.51150593798299</v>
      </c>
      <c r="Q39" s="18"/>
    </row>
    <row r="40" spans="1:17" ht="15">
      <c r="A40" s="20"/>
      <c r="B40" s="28" t="s">
        <v>51</v>
      </c>
      <c r="C40" s="35">
        <f>1.25*6147.2</f>
        <v>7684</v>
      </c>
      <c r="D40" s="36">
        <f t="shared" si="14"/>
        <v>4.903398142975151</v>
      </c>
      <c r="E40" s="35">
        <f>1.25*4826</f>
        <v>6032.5</v>
      </c>
      <c r="F40" s="36">
        <f t="shared" si="15"/>
        <v>4.88668678585619</v>
      </c>
      <c r="G40" s="35">
        <f>1.25*5705.6</f>
        <v>7132</v>
      </c>
      <c r="H40" s="36">
        <f t="shared" si="16"/>
        <v>5.364656750726996</v>
      </c>
      <c r="I40" s="35">
        <f>1.25*5618.8</f>
        <v>7023.5</v>
      </c>
      <c r="J40" s="36">
        <f t="shared" si="17"/>
        <v>3.8864988502636875</v>
      </c>
      <c r="K40" s="35">
        <f>1.25*11012.8</f>
        <v>13766</v>
      </c>
      <c r="L40" s="36">
        <f t="shared" si="18"/>
        <v>3.921660515272747</v>
      </c>
      <c r="M40" s="35"/>
      <c r="N40" s="41"/>
      <c r="O40" s="42">
        <f t="shared" si="19"/>
        <v>75646.6</v>
      </c>
      <c r="P40" s="36">
        <f t="shared" si="20"/>
        <v>4.5271487328261335</v>
      </c>
      <c r="Q40" s="18"/>
    </row>
    <row r="41" spans="1:17" ht="15">
      <c r="A41" s="20"/>
      <c r="B41" s="28" t="s">
        <v>37</v>
      </c>
      <c r="C41" s="35">
        <f>1.25*16662.88</f>
        <v>20828.600000000002</v>
      </c>
      <c r="D41" s="36">
        <f t="shared" si="14"/>
        <v>13.29137409692507</v>
      </c>
      <c r="E41" s="35">
        <f>1.25*8498.4</f>
        <v>10623</v>
      </c>
      <c r="F41" s="36">
        <f t="shared" si="15"/>
        <v>8.605267090949077</v>
      </c>
      <c r="G41" s="35">
        <f>1.25*2985.6</f>
        <v>3732</v>
      </c>
      <c r="H41" s="36">
        <f t="shared" si="16"/>
        <v>2.80719279216393</v>
      </c>
      <c r="I41" s="35">
        <f>1.25*1369.6</f>
        <v>1712</v>
      </c>
      <c r="J41" s="36">
        <f t="shared" si="17"/>
        <v>0.9473461994235685</v>
      </c>
      <c r="K41" s="35">
        <f>1.25*13411.2</f>
        <v>16764</v>
      </c>
      <c r="L41" s="36">
        <f t="shared" si="18"/>
        <v>4.775731285633614</v>
      </c>
      <c r="M41" s="35"/>
      <c r="N41" s="41"/>
      <c r="O41" s="42">
        <f t="shared" si="19"/>
        <v>177156.6</v>
      </c>
      <c r="P41" s="36">
        <f t="shared" si="20"/>
        <v>10.602119291571416</v>
      </c>
      <c r="Q41" s="18"/>
    </row>
    <row r="42" spans="1:17" ht="15">
      <c r="A42" s="20"/>
      <c r="B42" s="28" t="s">
        <v>38</v>
      </c>
      <c r="C42" s="35">
        <f>1.25*23014.8</f>
        <v>28768.5</v>
      </c>
      <c r="D42" s="36">
        <f t="shared" si="14"/>
        <v>18.358069947446722</v>
      </c>
      <c r="E42" s="35">
        <f>1.25*18051.68</f>
        <v>22564.6</v>
      </c>
      <c r="F42" s="36">
        <f t="shared" si="15"/>
        <v>18.27867926201916</v>
      </c>
      <c r="G42" s="35">
        <f>1.25*17445.36</f>
        <v>21806.7</v>
      </c>
      <c r="H42" s="36">
        <f t="shared" si="16"/>
        <v>16.402896854469766</v>
      </c>
      <c r="I42" s="35">
        <f>1.25*19816.56</f>
        <v>24770.7</v>
      </c>
      <c r="J42" s="36">
        <f t="shared" si="17"/>
        <v>13.707025994194735</v>
      </c>
      <c r="K42" s="35">
        <f>1.25*40914.64</f>
        <v>51143.3</v>
      </c>
      <c r="L42" s="36">
        <f t="shared" si="18"/>
        <v>14.569712351499975</v>
      </c>
      <c r="M42" s="35"/>
      <c r="N42" s="41"/>
      <c r="O42" s="42">
        <f t="shared" si="19"/>
        <v>270914.07500000007</v>
      </c>
      <c r="P42" s="36">
        <f t="shared" si="20"/>
        <v>16.213132002509226</v>
      </c>
      <c r="Q42" s="18"/>
    </row>
    <row r="43" spans="1:17" ht="15">
      <c r="A43" s="20"/>
      <c r="B43" s="28" t="s">
        <v>39</v>
      </c>
      <c r="C43" s="35">
        <f>4903.68*1.25-C44</f>
        <v>5712.6</v>
      </c>
      <c r="D43" s="36">
        <f t="shared" si="14"/>
        <v>3.6453868078552634</v>
      </c>
      <c r="E43" s="35">
        <f>1.25*5125.2-E44</f>
        <v>5989.5</v>
      </c>
      <c r="F43" s="36">
        <f t="shared" si="15"/>
        <v>4.851854207026216</v>
      </c>
      <c r="G43" s="35">
        <f>1.25*4797.52-G44</f>
        <v>5718.900000000001</v>
      </c>
      <c r="H43" s="36">
        <f t="shared" si="16"/>
        <v>4.301729597831271</v>
      </c>
      <c r="I43" s="35">
        <f>1.25*8765.36-I44</f>
        <v>9844.7</v>
      </c>
      <c r="J43" s="36">
        <f t="shared" si="17"/>
        <v>5.447627996182947</v>
      </c>
      <c r="K43" s="35">
        <f>1.25*18044.48-K44</f>
        <v>21860.6</v>
      </c>
      <c r="L43" s="36">
        <f t="shared" si="18"/>
        <v>6.227651595247088</v>
      </c>
      <c r="M43" s="35"/>
      <c r="N43" s="41"/>
      <c r="O43" s="42">
        <f t="shared" si="19"/>
        <v>70222.29999999999</v>
      </c>
      <c r="P43" s="36">
        <f t="shared" si="20"/>
        <v>4.202525909441225</v>
      </c>
      <c r="Q43" s="18"/>
    </row>
    <row r="44" spans="1:17" ht="15">
      <c r="A44" s="20"/>
      <c r="B44" s="28" t="s">
        <v>40</v>
      </c>
      <c r="C44" s="35">
        <f>1.25*333.6</f>
        <v>417</v>
      </c>
      <c r="D44" s="36">
        <f t="shared" si="14"/>
        <v>0.2661006019808222</v>
      </c>
      <c r="E44" s="35">
        <f>1.25*333.6</f>
        <v>417</v>
      </c>
      <c r="F44" s="36">
        <f t="shared" si="15"/>
        <v>0.33779500865346557</v>
      </c>
      <c r="G44" s="35">
        <f>1.25*222.4</f>
        <v>278</v>
      </c>
      <c r="H44" s="36">
        <f t="shared" si="16"/>
        <v>0.20911028837662715</v>
      </c>
      <c r="I44" s="35">
        <f>1.25*889.6</f>
        <v>1112</v>
      </c>
      <c r="J44" s="36">
        <f t="shared" si="17"/>
        <v>0.615332344485402</v>
      </c>
      <c r="K44" s="35">
        <f>1.25*556</f>
        <v>695</v>
      </c>
      <c r="L44" s="36">
        <f t="shared" si="18"/>
        <v>0.1979917229489001</v>
      </c>
      <c r="M44" s="35"/>
      <c r="N44" s="41"/>
      <c r="O44" s="42">
        <f t="shared" si="19"/>
        <v>5849</v>
      </c>
      <c r="P44" s="36">
        <f t="shared" si="20"/>
        <v>0.35003943254951386</v>
      </c>
      <c r="Q44" s="18"/>
    </row>
    <row r="45" spans="1:17" ht="15">
      <c r="A45" s="20"/>
      <c r="B45" s="28" t="s">
        <v>41</v>
      </c>
      <c r="C45" s="35">
        <f>1.25*5393.6</f>
        <v>6742</v>
      </c>
      <c r="D45" s="36">
        <f t="shared" si="14"/>
        <v>4.302278797493293</v>
      </c>
      <c r="E45" s="35">
        <f>1.25*5791.68</f>
        <v>7239.6</v>
      </c>
      <c r="F45" s="36">
        <f t="shared" si="15"/>
        <v>5.864510179011102</v>
      </c>
      <c r="G45" s="35">
        <f>1.25*5804</f>
        <v>7255</v>
      </c>
      <c r="H45" s="36">
        <f t="shared" si="16"/>
        <v>5.457176770404424</v>
      </c>
      <c r="I45" s="35">
        <f>1.25*7053.28</f>
        <v>8816.6</v>
      </c>
      <c r="J45" s="36">
        <f t="shared" si="17"/>
        <v>4.878722255746398</v>
      </c>
      <c r="K45" s="35">
        <f>1.25*17888.48</f>
        <v>22360.6</v>
      </c>
      <c r="L45" s="36">
        <f t="shared" si="18"/>
        <v>6.370091683699534</v>
      </c>
      <c r="M45" s="35"/>
      <c r="N45" s="41"/>
      <c r="O45" s="42">
        <f t="shared" si="19"/>
        <v>90941.4</v>
      </c>
      <c r="P45" s="36">
        <f t="shared" si="20"/>
        <v>5.442481800522886</v>
      </c>
      <c r="Q45" s="18"/>
    </row>
    <row r="46" spans="1:17" ht="15">
      <c r="A46" s="20"/>
      <c r="B46" s="28" t="s">
        <v>42</v>
      </c>
      <c r="C46" s="35">
        <f>1.25*6660.24</f>
        <v>8325.3</v>
      </c>
      <c r="D46" s="36">
        <f>100*C46/C$57</f>
        <v>6.640789393498018</v>
      </c>
      <c r="E46" s="35">
        <f>1.25*4738.08</f>
        <v>5922.6</v>
      </c>
      <c r="F46" s="36">
        <f>100*E46/E$57</f>
        <v>5.9970764935581995</v>
      </c>
      <c r="G46" s="35">
        <f>1.25*4017.6</f>
        <v>5022</v>
      </c>
      <c r="H46" s="36">
        <f>100*G46/G$57</f>
        <v>4.721905882317543</v>
      </c>
      <c r="I46" s="35">
        <f>1.25*6196.16</f>
        <v>7745.2</v>
      </c>
      <c r="J46" s="36">
        <f>100*I46/I$57</f>
        <v>5.357320227639765</v>
      </c>
      <c r="K46" s="35">
        <f>1.25*13955.76</f>
        <v>17444.7</v>
      </c>
      <c r="L46" s="36">
        <f>100*K46/K$57</f>
        <v>6.212061527565967</v>
      </c>
      <c r="M46" s="35"/>
      <c r="N46" s="41"/>
      <c r="O46" s="42">
        <f t="shared" si="19"/>
        <v>74742.41249999999</v>
      </c>
      <c r="P46" s="36">
        <f>O46*100/$O$57</f>
        <v>5.591295875124314</v>
      </c>
      <c r="Q46" s="18"/>
    </row>
    <row r="47" spans="1:17" ht="15">
      <c r="A47" s="20"/>
      <c r="B47" s="28" t="s">
        <v>43</v>
      </c>
      <c r="C47" s="35">
        <f>1.25*2762.48</f>
        <v>3453.1</v>
      </c>
      <c r="D47" s="36">
        <f aca="true" t="shared" si="21" ref="D47:D55">80*C47/C$57</f>
        <v>2.2035299489208087</v>
      </c>
      <c r="E47" s="35">
        <f>1.25*2795.2</f>
        <v>3494</v>
      </c>
      <c r="F47" s="36">
        <f aca="true" t="shared" si="22" ref="F47:F55">80*E47/E$57</f>
        <v>2.8303495449285583</v>
      </c>
      <c r="G47" s="35">
        <f>1.25*2880.08</f>
        <v>3600.1</v>
      </c>
      <c r="H47" s="36">
        <f aca="true" t="shared" si="23" ref="H47:H55">80*G47/G$57</f>
        <v>2.7079782344773218</v>
      </c>
      <c r="I47" s="35">
        <f>1.25*2564.64</f>
        <v>3205.7999999999997</v>
      </c>
      <c r="J47" s="36">
        <f aca="true" t="shared" si="24" ref="J47:J55">80*I47/I$57</f>
        <v>1.7739500269346233</v>
      </c>
      <c r="K47" s="35">
        <f>1.25*5613.68</f>
        <v>7017.1</v>
      </c>
      <c r="L47" s="36">
        <f aca="true" t="shared" si="25" ref="L47:L55">80*K47/K$57</f>
        <v>1.9990326893593193</v>
      </c>
      <c r="M47" s="35"/>
      <c r="N47" s="41"/>
      <c r="O47" s="42">
        <f t="shared" si="19"/>
        <v>46259.4</v>
      </c>
      <c r="P47" s="36">
        <f aca="true" t="shared" si="26" ref="P47:P55">O47*80/$O$57</f>
        <v>2.7684414645376956</v>
      </c>
      <c r="Q47" s="18"/>
    </row>
    <row r="48" spans="1:17" ht="15">
      <c r="A48" s="20"/>
      <c r="B48" s="28" t="s">
        <v>44</v>
      </c>
      <c r="C48" s="35">
        <f>1.25*4044.64</f>
        <v>5055.8</v>
      </c>
      <c r="D48" s="36">
        <f t="shared" si="21"/>
        <v>3.2262624064619687</v>
      </c>
      <c r="E48" s="35">
        <f>1.25*3658.16</f>
        <v>4572.7</v>
      </c>
      <c r="F48" s="36">
        <f t="shared" si="22"/>
        <v>3.7041612375772233</v>
      </c>
      <c r="G48" s="35">
        <f>1.25*4437.2</f>
        <v>5546.5</v>
      </c>
      <c r="H48" s="36">
        <f t="shared" si="23"/>
        <v>4.172051131226484</v>
      </c>
      <c r="I48" s="35">
        <f>1.25*7908.64</f>
        <v>9885.800000000001</v>
      </c>
      <c r="J48" s="36">
        <f t="shared" si="24"/>
        <v>5.470370945246212</v>
      </c>
      <c r="K48" s="35">
        <f>1.25*12332.89</f>
        <v>15416.1125</v>
      </c>
      <c r="L48" s="36">
        <f t="shared" si="25"/>
        <v>4.391744856185721</v>
      </c>
      <c r="M48" s="35"/>
      <c r="N48" s="41"/>
      <c r="O48" s="42">
        <f t="shared" si="19"/>
        <v>69625.9125</v>
      </c>
      <c r="P48" s="36">
        <f t="shared" si="26"/>
        <v>4.166834484910601</v>
      </c>
      <c r="Q48" s="18"/>
    </row>
    <row r="49" spans="1:17" ht="15">
      <c r="A49" s="20"/>
      <c r="B49" s="28" t="s">
        <v>45</v>
      </c>
      <c r="C49" s="35">
        <f>1.25*2602.4</f>
        <v>3253</v>
      </c>
      <c r="D49" s="36">
        <f t="shared" si="21"/>
        <v>2.075839947826414</v>
      </c>
      <c r="E49" s="35">
        <f>1.25*2890.24</f>
        <v>3612.7999999999997</v>
      </c>
      <c r="F49" s="36">
        <f t="shared" si="22"/>
        <v>2.92658466969602</v>
      </c>
      <c r="G49" s="35">
        <f>1.25*3308.4</f>
        <v>4135.5</v>
      </c>
      <c r="H49" s="36">
        <f t="shared" si="23"/>
        <v>3.1107035884228114</v>
      </c>
      <c r="I49" s="35">
        <f>1.25*3396.8</f>
        <v>4246</v>
      </c>
      <c r="J49" s="36">
        <f t="shared" si="24"/>
        <v>2.349551380112425</v>
      </c>
      <c r="K49" s="35">
        <f>1.25*4822.16</f>
        <v>6027.7</v>
      </c>
      <c r="L49" s="36">
        <f t="shared" si="25"/>
        <v>1.717172242329619</v>
      </c>
      <c r="M49" s="35"/>
      <c r="N49" s="41"/>
      <c r="O49" s="42">
        <f t="shared" si="19"/>
        <v>33897.325</v>
      </c>
      <c r="P49" s="36">
        <f t="shared" si="26"/>
        <v>2.0286203467167807</v>
      </c>
      <c r="Q49" s="18"/>
    </row>
    <row r="50" spans="1:17" ht="15">
      <c r="A50" s="20"/>
      <c r="B50" s="28" t="s">
        <v>46</v>
      </c>
      <c r="C50" s="35">
        <f>1.25*3348</f>
        <v>4185</v>
      </c>
      <c r="D50" s="36">
        <f t="shared" si="21"/>
        <v>2.6705779839082515</v>
      </c>
      <c r="E50" s="35">
        <f>1.25*2710.48</f>
        <v>3388.1</v>
      </c>
      <c r="F50" s="36">
        <f t="shared" si="22"/>
        <v>2.744564193810088</v>
      </c>
      <c r="G50" s="35">
        <f>1.25*2367.04</f>
        <v>2958.8</v>
      </c>
      <c r="H50" s="36">
        <f t="shared" si="23"/>
        <v>2.2255954001754117</v>
      </c>
      <c r="I50" s="35">
        <f>1.25*4011.92</f>
        <v>5014.9</v>
      </c>
      <c r="J50" s="36">
        <f t="shared" si="24"/>
        <v>2.7750271352156854</v>
      </c>
      <c r="K50" s="35">
        <f>1.25*7309.92</f>
        <v>9137.4</v>
      </c>
      <c r="L50" s="36">
        <f t="shared" si="25"/>
        <v>2.6030641284507623</v>
      </c>
      <c r="M50" s="35"/>
      <c r="N50" s="41"/>
      <c r="O50" s="42">
        <f t="shared" si="19"/>
        <v>37939.899999999994</v>
      </c>
      <c r="P50" s="36">
        <f t="shared" si="26"/>
        <v>2.2705524135724566</v>
      </c>
      <c r="Q50" s="18"/>
    </row>
    <row r="51" spans="1:17" ht="15">
      <c r="A51" s="20"/>
      <c r="B51" s="28" t="s">
        <v>47</v>
      </c>
      <c r="C51" s="35">
        <f>1.25*0</f>
        <v>0</v>
      </c>
      <c r="D51" s="36">
        <f t="shared" si="21"/>
        <v>0</v>
      </c>
      <c r="E51" s="35">
        <f>1.25*20</f>
        <v>25</v>
      </c>
      <c r="F51" s="36">
        <f t="shared" si="22"/>
        <v>0.020251499319752134</v>
      </c>
      <c r="G51" s="35">
        <f>1.25*4995.2</f>
        <v>6244</v>
      </c>
      <c r="H51" s="36">
        <f t="shared" si="23"/>
        <v>4.696707340372877</v>
      </c>
      <c r="I51" s="35">
        <f>1.25*21501.28</f>
        <v>26876.6</v>
      </c>
      <c r="J51" s="36">
        <f t="shared" si="24"/>
        <v>14.87233928938521</v>
      </c>
      <c r="K51" s="35">
        <f>1.25*19629.68</f>
        <v>24537.1</v>
      </c>
      <c r="L51" s="36">
        <f t="shared" si="25"/>
        <v>6.990133388733032</v>
      </c>
      <c r="M51" s="35"/>
      <c r="N51" s="41"/>
      <c r="O51" s="42">
        <f t="shared" si="19"/>
        <v>58149.7</v>
      </c>
      <c r="P51" s="36">
        <f t="shared" si="26"/>
        <v>3.48002872130697</v>
      </c>
      <c r="Q51" s="18"/>
    </row>
    <row r="52" spans="1:17" ht="15">
      <c r="A52" s="20"/>
      <c r="B52" s="28" t="s">
        <v>48</v>
      </c>
      <c r="C52" s="35">
        <v>447</v>
      </c>
      <c r="D52" s="36">
        <f t="shared" si="21"/>
        <v>0.28524453018088136</v>
      </c>
      <c r="E52" s="35">
        <v>279</v>
      </c>
      <c r="F52" s="36">
        <f t="shared" si="22"/>
        <v>0.2260067324084338</v>
      </c>
      <c r="G52" s="35">
        <v>198</v>
      </c>
      <c r="H52" s="36">
        <f t="shared" si="23"/>
        <v>0.14893466582220208</v>
      </c>
      <c r="I52" s="35">
        <v>253</v>
      </c>
      <c r="J52" s="36">
        <f t="shared" si="24"/>
        <v>0.13999917549892688</v>
      </c>
      <c r="K52" s="35">
        <v>435</v>
      </c>
      <c r="L52" s="36">
        <f t="shared" si="25"/>
        <v>0.12392287695362812</v>
      </c>
      <c r="M52" s="35"/>
      <c r="N52" s="41"/>
      <c r="O52" s="42">
        <f t="shared" si="19"/>
        <v>3808</v>
      </c>
      <c r="P52" s="36">
        <f t="shared" si="26"/>
        <v>0.227893684244922</v>
      </c>
      <c r="Q52" s="18"/>
    </row>
    <row r="53" spans="1:17" ht="15">
      <c r="A53" s="20"/>
      <c r="B53" s="28" t="s">
        <v>60</v>
      </c>
      <c r="C53" s="35">
        <f>1.25*5467.6</f>
        <v>6834.5</v>
      </c>
      <c r="D53" s="36">
        <f t="shared" si="21"/>
        <v>4.361305909443476</v>
      </c>
      <c r="E53" s="35">
        <f>1.25*4485.68</f>
        <v>5607.1</v>
      </c>
      <c r="F53" s="36">
        <f t="shared" si="22"/>
        <v>4.542087273431287</v>
      </c>
      <c r="G53" s="35">
        <f>1.25*6461.84</f>
        <v>8077.3</v>
      </c>
      <c r="H53" s="36">
        <f t="shared" si="23"/>
        <v>6.0757069507357215</v>
      </c>
      <c r="I53" s="35">
        <f>1.25*6800.8</f>
        <v>8501</v>
      </c>
      <c r="J53" s="36">
        <f t="shared" si="24"/>
        <v>4.7040829680489225</v>
      </c>
      <c r="K53" s="35">
        <f>1.25*11965.28</f>
        <v>14956.6</v>
      </c>
      <c r="L53" s="36">
        <f t="shared" si="25"/>
        <v>4.260838853895711</v>
      </c>
      <c r="M53" s="35"/>
      <c r="N53" s="41"/>
      <c r="O53" s="42">
        <f t="shared" si="19"/>
        <v>66201.75</v>
      </c>
      <c r="P53" s="36">
        <f t="shared" si="26"/>
        <v>3.9619119514078953</v>
      </c>
      <c r="Q53" s="18"/>
    </row>
    <row r="54" spans="1:17" ht="15">
      <c r="A54" s="20"/>
      <c r="B54" s="28" t="s">
        <v>49</v>
      </c>
      <c r="C54" s="35">
        <f>1.25*4796.8</f>
        <v>5996</v>
      </c>
      <c r="D54" s="36">
        <f t="shared" si="21"/>
        <v>3.826233116251822</v>
      </c>
      <c r="E54" s="35">
        <f>1.25*1154.8</f>
        <v>1443.5</v>
      </c>
      <c r="F54" s="36">
        <f t="shared" si="22"/>
        <v>1.1693215707224882</v>
      </c>
      <c r="G54" s="35">
        <f>1.25*1965.76</f>
        <v>2457.2</v>
      </c>
      <c r="H54" s="36">
        <f t="shared" si="23"/>
        <v>1.8482942467591663</v>
      </c>
      <c r="I54" s="35">
        <f>1.25*2039.28</f>
        <v>2549.1</v>
      </c>
      <c r="J54" s="36">
        <f t="shared" si="24"/>
        <v>1.4105608627048003</v>
      </c>
      <c r="K54" s="35">
        <f>1.25*5427.2</f>
        <v>6784</v>
      </c>
      <c r="L54" s="36">
        <f t="shared" si="25"/>
        <v>1.932627120122789</v>
      </c>
      <c r="M54" s="35"/>
      <c r="N54" s="41"/>
      <c r="O54" s="42">
        <f t="shared" si="19"/>
        <v>44794.299999999996</v>
      </c>
      <c r="P54" s="36">
        <f t="shared" si="26"/>
        <v>2.680761045213316</v>
      </c>
      <c r="Q54" s="18"/>
    </row>
    <row r="55" spans="1:17" ht="15.75" thickBot="1">
      <c r="A55" s="20"/>
      <c r="B55" s="28" t="s">
        <v>50</v>
      </c>
      <c r="C55" s="35">
        <f>1.25*197.6</f>
        <v>247</v>
      </c>
      <c r="D55" s="36">
        <f t="shared" si="21"/>
        <v>0.157618342180487</v>
      </c>
      <c r="E55" s="35">
        <f>1.25*163.68</f>
        <v>204.60000000000002</v>
      </c>
      <c r="F55" s="36">
        <f t="shared" si="22"/>
        <v>0.16573827043285147</v>
      </c>
      <c r="G55" s="35">
        <f>1.25*143.6</f>
        <v>179.5</v>
      </c>
      <c r="H55" s="36">
        <f t="shared" si="23"/>
        <v>0.1350190531064913</v>
      </c>
      <c r="I55" s="35">
        <f>1.25*220.8</f>
        <v>276</v>
      </c>
      <c r="J55" s="36">
        <f t="shared" si="24"/>
        <v>0.15272637327155658</v>
      </c>
      <c r="K55" s="35">
        <f>1.25*336.8</f>
        <v>421</v>
      </c>
      <c r="L55" s="36">
        <f t="shared" si="25"/>
        <v>0.11993455447695964</v>
      </c>
      <c r="M55" s="35"/>
      <c r="N55" s="41"/>
      <c r="O55" s="42">
        <f t="shared" si="19"/>
        <v>2148.1</v>
      </c>
      <c r="P55" s="36">
        <f t="shared" si="26"/>
        <v>0.1285552581739803</v>
      </c>
      <c r="Q55" s="18"/>
    </row>
    <row r="56" spans="1:17" ht="16.5" thickBot="1" thickTop="1">
      <c r="A56" s="20"/>
      <c r="B56" s="27" t="s">
        <v>9</v>
      </c>
      <c r="C56" s="33">
        <f>SUM(C35:C55)</f>
        <v>156595.90000000002</v>
      </c>
      <c r="D56" s="34"/>
      <c r="E56" s="33">
        <f>SUM(E35:E55)</f>
        <v>123377.90000000002</v>
      </c>
      <c r="F56" s="34"/>
      <c r="G56" s="33">
        <f>SUM(G35:G55)</f>
        <v>132894.7</v>
      </c>
      <c r="H56" s="34"/>
      <c r="I56" s="33">
        <f>SUM(I35:I55)</f>
        <v>180652.1</v>
      </c>
      <c r="J56" s="34"/>
      <c r="K56" s="33">
        <f>SUM(K35:K55)</f>
        <v>350916.02499999997</v>
      </c>
      <c r="L56" s="34"/>
      <c r="M56" s="33">
        <f>SUM(M35:M55)</f>
        <v>0</v>
      </c>
      <c r="N56" s="5"/>
      <c r="O56" s="38">
        <f>SUM(O35:O55)</f>
        <v>1670002.6</v>
      </c>
      <c r="P56" s="34"/>
      <c r="Q56" s="18"/>
    </row>
    <row r="57" spans="1:17" ht="16.5" thickBot="1" thickTop="1">
      <c r="A57" s="20"/>
      <c r="B57" s="27" t="s">
        <v>10</v>
      </c>
      <c r="C57" s="33">
        <f>C56*0.8+C52*0.2</f>
        <v>125366.12000000002</v>
      </c>
      <c r="D57" s="34"/>
      <c r="E57" s="33">
        <f>E56*0.8+E52*0.2</f>
        <v>98758.12000000002</v>
      </c>
      <c r="F57" s="34"/>
      <c r="G57" s="33">
        <f>G56*0.8+G52*0.2</f>
        <v>106355.36000000002</v>
      </c>
      <c r="H57" s="34"/>
      <c r="I57" s="33">
        <f>I56*0.8+I52*0.2</f>
        <v>144572.28000000003</v>
      </c>
      <c r="J57" s="34"/>
      <c r="K57" s="33">
        <f>K56*0.8+K52*0.2</f>
        <v>280819.82</v>
      </c>
      <c r="L57" s="34"/>
      <c r="M57" s="33">
        <f>M56*0.8+M46*0.2</f>
        <v>0</v>
      </c>
      <c r="N57" s="5"/>
      <c r="O57" s="38">
        <f>O56*0.8+O52*0.2</f>
        <v>1336763.6800000002</v>
      </c>
      <c r="P57" s="34"/>
      <c r="Q57" s="18"/>
    </row>
    <row r="58" spans="1:17" ht="16.5" thickBot="1" thickTop="1">
      <c r="A58" s="20"/>
      <c r="B58" s="29"/>
      <c r="C58" s="37"/>
      <c r="D58" s="5"/>
      <c r="E58" s="37"/>
      <c r="F58" s="5"/>
      <c r="G58" s="37"/>
      <c r="H58" s="5"/>
      <c r="I58" s="37"/>
      <c r="J58" s="5"/>
      <c r="K58" s="37"/>
      <c r="L58" s="5"/>
      <c r="M58" s="37"/>
      <c r="N58" s="5"/>
      <c r="O58" s="37"/>
      <c r="P58" s="5"/>
      <c r="Q58" s="20"/>
    </row>
    <row r="59" spans="1:17" ht="16.5" thickBot="1" thickTop="1">
      <c r="A59" s="20"/>
      <c r="B59" s="27" t="s">
        <v>11</v>
      </c>
      <c r="C59" s="38"/>
      <c r="D59" s="5">
        <v>26</v>
      </c>
      <c r="E59" s="38"/>
      <c r="F59" s="5">
        <v>26</v>
      </c>
      <c r="G59" s="38"/>
      <c r="H59" s="5">
        <v>26</v>
      </c>
      <c r="I59" s="38"/>
      <c r="J59" s="5">
        <v>26</v>
      </c>
      <c r="K59" s="38"/>
      <c r="L59" s="5">
        <v>24</v>
      </c>
      <c r="M59" s="38"/>
      <c r="N59" s="5"/>
      <c r="O59" s="38"/>
      <c r="P59" s="5">
        <f>SUM(A28:P28)+SUM(A59:N59)</f>
        <v>258</v>
      </c>
      <c r="Q59" s="18"/>
    </row>
    <row r="60" spans="1:17" ht="16.5" thickBot="1" thickTop="1">
      <c r="A60" s="20"/>
      <c r="B60" s="27" t="s">
        <v>12</v>
      </c>
      <c r="C60" s="38">
        <f>C56/D59</f>
        <v>6022.919230769232</v>
      </c>
      <c r="D60" s="37"/>
      <c r="E60" s="38">
        <f>E56/F59</f>
        <v>4745.303846153847</v>
      </c>
      <c r="F60" s="37"/>
      <c r="G60" s="38">
        <f>G56/H59</f>
        <v>5111.334615384616</v>
      </c>
      <c r="H60" s="37"/>
      <c r="I60" s="38">
        <f>I56/J59</f>
        <v>6948.157692307693</v>
      </c>
      <c r="J60" s="37"/>
      <c r="K60" s="38">
        <f>K56/L59</f>
        <v>14621.501041666665</v>
      </c>
      <c r="L60" s="37"/>
      <c r="M60" s="38"/>
      <c r="N60" s="37"/>
      <c r="O60" s="38">
        <f>O56/P59</f>
        <v>6472.878294573644</v>
      </c>
      <c r="P60" s="37"/>
      <c r="Q60" s="19"/>
    </row>
    <row r="61" spans="1:17" ht="16.5" thickBot="1" thickTop="1">
      <c r="A61" s="20"/>
      <c r="B61" s="2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"/>
      <c r="Q61" s="20"/>
    </row>
    <row r="62" spans="1:17" ht="16.5" thickBot="1" thickTop="1">
      <c r="A62" s="32"/>
      <c r="B62" s="61" t="s">
        <v>77</v>
      </c>
      <c r="C62" s="38">
        <v>5368</v>
      </c>
      <c r="D62" s="37"/>
      <c r="E62" s="38">
        <v>3913</v>
      </c>
      <c r="F62" s="37"/>
      <c r="G62" s="38">
        <v>4055</v>
      </c>
      <c r="H62" s="37"/>
      <c r="I62" s="38">
        <v>7335</v>
      </c>
      <c r="J62" s="37"/>
      <c r="K62" s="38">
        <v>13119</v>
      </c>
      <c r="L62" s="37"/>
      <c r="M62" s="38"/>
      <c r="N62" s="37"/>
      <c r="O62" s="38">
        <v>5661</v>
      </c>
      <c r="P62" s="37"/>
      <c r="Q62" s="56"/>
    </row>
    <row r="63" spans="1:17" ht="16.5" thickBot="1" thickTop="1">
      <c r="A63" s="32"/>
      <c r="B63" s="27" t="s">
        <v>73</v>
      </c>
      <c r="C63" s="38">
        <v>4652</v>
      </c>
      <c r="D63" s="37"/>
      <c r="E63" s="38">
        <v>4210</v>
      </c>
      <c r="F63" s="37"/>
      <c r="G63" s="38">
        <v>4088</v>
      </c>
      <c r="H63" s="37"/>
      <c r="I63" s="38">
        <v>5772</v>
      </c>
      <c r="J63" s="37"/>
      <c r="K63" s="38">
        <v>13659</v>
      </c>
      <c r="L63" s="37"/>
      <c r="M63" s="38"/>
      <c r="N63" s="37"/>
      <c r="O63" s="38">
        <v>5443</v>
      </c>
      <c r="P63" s="37"/>
      <c r="Q63" s="56"/>
    </row>
    <row r="64" spans="1:17" ht="15.75" thickTop="1">
      <c r="A64" s="32"/>
      <c r="B64" s="29"/>
      <c r="C64" s="37"/>
      <c r="D64" s="5"/>
      <c r="E64" s="37"/>
      <c r="F64" s="5"/>
      <c r="G64" s="37"/>
      <c r="H64" s="5"/>
      <c r="I64" s="37"/>
      <c r="J64" s="5"/>
      <c r="K64" s="37"/>
      <c r="L64" s="5"/>
      <c r="M64" s="37"/>
      <c r="N64" s="5"/>
      <c r="O64" s="37"/>
      <c r="P64" s="5"/>
      <c r="Q64" s="32"/>
    </row>
    <row r="65" spans="1:17" ht="15">
      <c r="A65" s="32"/>
      <c r="B65" s="26"/>
      <c r="C65" s="39"/>
      <c r="D65" s="32"/>
      <c r="E65" s="39"/>
      <c r="F65" s="32"/>
      <c r="G65" s="39"/>
      <c r="H65" s="32"/>
      <c r="I65" s="39"/>
      <c r="J65" s="39" t="s">
        <v>20</v>
      </c>
      <c r="K65" s="39"/>
      <c r="L65" s="62" t="s">
        <v>78</v>
      </c>
      <c r="M65" s="39" t="s">
        <v>21</v>
      </c>
      <c r="N65" s="32"/>
      <c r="O65" s="39">
        <v>1692535</v>
      </c>
      <c r="P65" s="32"/>
      <c r="Q65" s="32"/>
    </row>
    <row r="66" spans="1:17" ht="15">
      <c r="A66" s="32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75</v>
      </c>
      <c r="M66" s="39" t="s">
        <v>21</v>
      </c>
      <c r="N66" s="32"/>
      <c r="O66" s="39">
        <v>1660209</v>
      </c>
      <c r="P66" s="32"/>
      <c r="Q66" s="32"/>
    </row>
    <row r="67" spans="1:17" ht="15">
      <c r="A67" s="32"/>
      <c r="B67" s="26"/>
      <c r="C67" s="39"/>
      <c r="D67" s="32"/>
      <c r="E67" s="39"/>
      <c r="F67" s="32"/>
      <c r="G67" s="39"/>
      <c r="H67" s="32"/>
      <c r="I67" s="39"/>
      <c r="J67" s="32"/>
      <c r="K67" s="39"/>
      <c r="L67" s="32"/>
      <c r="M67" s="39"/>
      <c r="N67" s="32"/>
      <c r="O67" s="39"/>
      <c r="P67" s="32"/>
      <c r="Q67" s="32"/>
    </row>
    <row r="68" spans="1:17" ht="15">
      <c r="A68" s="20"/>
      <c r="B68" s="26"/>
      <c r="C68" s="39"/>
      <c r="D68" s="39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5">
      <c r="A69" s="20"/>
      <c r="B69" s="26"/>
      <c r="C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5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3:15" ht="15">
      <c r="C76" s="44"/>
      <c r="E76" s="44"/>
      <c r="G76" s="44"/>
      <c r="I76" s="44"/>
      <c r="K76" s="44"/>
      <c r="M76" s="44"/>
      <c r="O76" s="44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3" ht="15">
      <c r="C93" s="44"/>
      <c r="E93" s="45"/>
      <c r="G93" s="44"/>
      <c r="I93" s="44"/>
      <c r="K93" s="44"/>
      <c r="M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5"/>
      <c r="E104" s="45"/>
      <c r="G104" s="44"/>
      <c r="I104" s="44"/>
      <c r="K104" s="44"/>
      <c r="M104" s="44"/>
    </row>
    <row r="105" spans="3:13" ht="15">
      <c r="C105" s="44"/>
      <c r="E105" s="44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5" ht="15">
      <c r="C192" s="45"/>
      <c r="E192" s="45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A16">
      <selection activeCell="A49" sqref="A49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21484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5">
      <c r="A1" s="20"/>
      <c r="B1" s="26"/>
      <c r="C1" s="31"/>
      <c r="D1" s="32"/>
      <c r="E1" s="31"/>
      <c r="F1" s="51" t="s">
        <v>72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5.75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6.5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7" ht="15.75" thickTop="1">
      <c r="A4" s="20"/>
      <c r="B4" s="27" t="s">
        <v>31</v>
      </c>
      <c r="C4" s="33">
        <f>1.25*3940</f>
        <v>4925</v>
      </c>
      <c r="D4" s="34">
        <f aca="true" t="shared" si="0" ref="D4:D14">80*C4/C$26</f>
        <v>5.983291733763561</v>
      </c>
      <c r="E4" s="33">
        <f>1.25*4195.6</f>
        <v>5244.5</v>
      </c>
      <c r="F4" s="34">
        <f aca="true" t="shared" si="1" ref="F4:F14">80*E4/E$26</f>
        <v>5.4014582752925895</v>
      </c>
      <c r="G4" s="33">
        <f>1.25*1446</f>
        <v>1807.5</v>
      </c>
      <c r="H4" s="34">
        <f aca="true" t="shared" si="2" ref="H4:H14">80*G4/G$26</f>
        <v>3.3842468225292532</v>
      </c>
      <c r="I4" s="33">
        <f>1.25*3070.8</f>
        <v>3838.5</v>
      </c>
      <c r="J4" s="34">
        <f aca="true" t="shared" si="3" ref="J4:J14">80*I4/I$26</f>
        <v>4.416512129012549</v>
      </c>
      <c r="K4" s="33">
        <f>1.25*5092</f>
        <v>6365</v>
      </c>
      <c r="L4" s="34">
        <f aca="true" t="shared" si="4" ref="L4:L14">80*K4/K$26</f>
        <v>4.067340850511964</v>
      </c>
      <c r="M4" s="33">
        <f>1.25*5381.2</f>
        <v>6726.5</v>
      </c>
      <c r="N4" s="34">
        <f aca="true" t="shared" si="5" ref="N4:N14">80*M4/M$26</f>
        <v>4.066148894858631</v>
      </c>
      <c r="O4" s="33">
        <f>1.25*10298.8</f>
        <v>12873.5</v>
      </c>
      <c r="P4" s="34">
        <f aca="true" t="shared" si="6" ref="P4:P14">80*O4/O$26</f>
        <v>6.18657570499739</v>
      </c>
      <c r="Q4" s="18"/>
    </row>
    <row r="5" spans="1:17" ht="15">
      <c r="A5" s="20"/>
      <c r="B5" s="28" t="s">
        <v>32</v>
      </c>
      <c r="C5" s="35">
        <f>1.25*2803.6</f>
        <v>3504.5</v>
      </c>
      <c r="D5" s="36">
        <f t="shared" si="0"/>
        <v>4.2575524631420105</v>
      </c>
      <c r="E5" s="35">
        <f>1.25*3140.24</f>
        <v>3925.2999999999997</v>
      </c>
      <c r="F5" s="36">
        <f t="shared" si="1"/>
        <v>4.042777036515588</v>
      </c>
      <c r="G5" s="35">
        <f>1.25*2587.28</f>
        <v>3234.1000000000004</v>
      </c>
      <c r="H5" s="36">
        <f t="shared" si="2"/>
        <v>6.055320967492038</v>
      </c>
      <c r="I5" s="35">
        <f>1.25*3129.6</f>
        <v>3912</v>
      </c>
      <c r="J5" s="36">
        <f t="shared" si="3"/>
        <v>4.501079965793172</v>
      </c>
      <c r="K5" s="35">
        <f>1.25*8499.24</f>
        <v>10624.05</v>
      </c>
      <c r="L5" s="36">
        <f t="shared" si="4"/>
        <v>6.788944628889494</v>
      </c>
      <c r="M5" s="35">
        <f>1.25*6823.2</f>
        <v>8529</v>
      </c>
      <c r="N5" s="36">
        <f t="shared" si="5"/>
        <v>5.155754690292018</v>
      </c>
      <c r="O5" s="35">
        <f>1.25*11545.2</f>
        <v>14431.5</v>
      </c>
      <c r="P5" s="36">
        <f t="shared" si="6"/>
        <v>6.935298659002589</v>
      </c>
      <c r="Q5" s="18"/>
    </row>
    <row r="6" spans="1:17" ht="15">
      <c r="A6" s="20"/>
      <c r="B6" s="28" t="s">
        <v>33</v>
      </c>
      <c r="C6" s="35">
        <f>1.25*1282.32</f>
        <v>1602.8999999999999</v>
      </c>
      <c r="D6" s="36">
        <f t="shared" si="0"/>
        <v>1.9473336690456065</v>
      </c>
      <c r="E6" s="35">
        <f>1.25*4328.96</f>
        <v>5411.2</v>
      </c>
      <c r="F6" s="36">
        <f t="shared" si="1"/>
        <v>5.5731473008415024</v>
      </c>
      <c r="G6" s="35">
        <f>1.25*743.6</f>
        <v>929.5</v>
      </c>
      <c r="H6" s="36">
        <f t="shared" si="2"/>
        <v>1.7403360561775607</v>
      </c>
      <c r="I6" s="35">
        <f>1.25*784.8</f>
        <v>981</v>
      </c>
      <c r="J6" s="36">
        <f t="shared" si="3"/>
        <v>1.1287217398883185</v>
      </c>
      <c r="K6" s="35">
        <f>1.25*2793.28</f>
        <v>3491.6000000000004</v>
      </c>
      <c r="L6" s="36">
        <f t="shared" si="4"/>
        <v>2.231190465616272</v>
      </c>
      <c r="M6" s="35">
        <f>1.25*4514</f>
        <v>5642.5</v>
      </c>
      <c r="N6" s="36">
        <f t="shared" si="5"/>
        <v>3.4108741751638774</v>
      </c>
      <c r="O6" s="35">
        <f>1.25*5408.4</f>
        <v>6760.5</v>
      </c>
      <c r="P6" s="36">
        <f t="shared" si="6"/>
        <v>3.2488713289808406</v>
      </c>
      <c r="Q6" s="18"/>
    </row>
    <row r="7" spans="1:17" ht="15">
      <c r="A7" s="20"/>
      <c r="B7" s="28" t="s">
        <v>34</v>
      </c>
      <c r="C7" s="35">
        <f>1.25*4345.52</f>
        <v>5431.900000000001</v>
      </c>
      <c r="D7" s="36">
        <f t="shared" si="0"/>
        <v>6.599115201752344</v>
      </c>
      <c r="E7" s="35">
        <f>1.25*4520.96</f>
        <v>5651.2</v>
      </c>
      <c r="F7" s="36">
        <f t="shared" si="1"/>
        <v>5.82033006107989</v>
      </c>
      <c r="G7" s="35">
        <f>1.25*2950.8</f>
        <v>3688.5</v>
      </c>
      <c r="H7" s="36">
        <f t="shared" si="2"/>
        <v>6.906110320829406</v>
      </c>
      <c r="I7" s="35">
        <f>1.25*2411.04</f>
        <v>3013.8</v>
      </c>
      <c r="J7" s="36">
        <f t="shared" si="3"/>
        <v>3.467626482849556</v>
      </c>
      <c r="K7" s="35">
        <f>1.25*2772.4</f>
        <v>3465.5</v>
      </c>
      <c r="L7" s="36">
        <f t="shared" si="4"/>
        <v>2.214512131570968</v>
      </c>
      <c r="M7" s="35">
        <f>1.25*3145.2</f>
        <v>3931.5</v>
      </c>
      <c r="N7" s="36">
        <f t="shared" si="5"/>
        <v>2.3765798528412554</v>
      </c>
      <c r="O7" s="35">
        <f>1.25*5503.68</f>
        <v>6879.6</v>
      </c>
      <c r="P7" s="36">
        <f t="shared" si="6"/>
        <v>3.3061068256573614</v>
      </c>
      <c r="Q7" s="18"/>
    </row>
    <row r="8" spans="1:17" ht="15">
      <c r="A8" s="20"/>
      <c r="B8" s="28" t="s">
        <v>35</v>
      </c>
      <c r="C8" s="35">
        <f>1.25*7404.4</f>
        <v>9255.5</v>
      </c>
      <c r="D8" s="36">
        <f t="shared" si="0"/>
        <v>11.24433637397942</v>
      </c>
      <c r="E8" s="35">
        <f>1.25*5636.96</f>
        <v>7046.2</v>
      </c>
      <c r="F8" s="36">
        <f t="shared" si="1"/>
        <v>7.257079854965514</v>
      </c>
      <c r="G8" s="35">
        <f>1.25*6028.56</f>
        <v>7535.700000000001</v>
      </c>
      <c r="H8" s="36">
        <f t="shared" si="2"/>
        <v>14.109360321180466</v>
      </c>
      <c r="I8" s="35">
        <f>1.25*8840.24</f>
        <v>11050.3</v>
      </c>
      <c r="J8" s="36">
        <f t="shared" si="3"/>
        <v>12.714285262271035</v>
      </c>
      <c r="K8" s="35">
        <f>1.25*17922.28</f>
        <v>22402.85</v>
      </c>
      <c r="L8" s="36">
        <f t="shared" si="4"/>
        <v>14.31579371137344</v>
      </c>
      <c r="M8" s="35">
        <f>1.25*9151.6</f>
        <v>11439.5</v>
      </c>
      <c r="N8" s="36">
        <f t="shared" si="5"/>
        <v>6.9151431327934745</v>
      </c>
      <c r="O8" s="35">
        <f>1.25*13777.2</f>
        <v>17221.5</v>
      </c>
      <c r="P8" s="36">
        <f t="shared" si="6"/>
        <v>8.27607981540471</v>
      </c>
      <c r="Q8" s="18"/>
    </row>
    <row r="9" spans="1:17" ht="15">
      <c r="A9" s="20"/>
      <c r="B9" s="28" t="s">
        <v>51</v>
      </c>
      <c r="C9" s="35">
        <f>1.25*5410.88</f>
        <v>6763.6</v>
      </c>
      <c r="D9" s="36">
        <f t="shared" si="0"/>
        <v>8.216972988930603</v>
      </c>
      <c r="E9" s="35">
        <f>1.25*3623.2</f>
        <v>4529</v>
      </c>
      <c r="F9" s="36">
        <f t="shared" si="1"/>
        <v>4.664544671331898</v>
      </c>
      <c r="G9" s="35">
        <f>1.25*980</f>
        <v>1225</v>
      </c>
      <c r="H9" s="36">
        <f t="shared" si="2"/>
        <v>2.293611262848318</v>
      </c>
      <c r="I9" s="35">
        <f>1.25*1743.2</f>
        <v>2179</v>
      </c>
      <c r="J9" s="36">
        <f t="shared" si="3"/>
        <v>2.5071199502718104</v>
      </c>
      <c r="K9" s="35">
        <f>1.25*6136.4</f>
        <v>7670.5</v>
      </c>
      <c r="L9" s="36">
        <f t="shared" si="4"/>
        <v>4.901577061092226</v>
      </c>
      <c r="M9" s="35">
        <f>1.25*8388</f>
        <v>10485</v>
      </c>
      <c r="N9" s="36">
        <f t="shared" si="5"/>
        <v>6.3381507712172365</v>
      </c>
      <c r="O9" s="35">
        <f>1.25*9150.4</f>
        <v>11438</v>
      </c>
      <c r="P9" s="36">
        <f t="shared" si="6"/>
        <v>5.496722174525975</v>
      </c>
      <c r="Q9" s="18"/>
    </row>
    <row r="10" spans="1:17" ht="15">
      <c r="A10" s="20"/>
      <c r="B10" s="28" t="s">
        <v>37</v>
      </c>
      <c r="C10" s="35">
        <f>1.25*1246.4</f>
        <v>1558</v>
      </c>
      <c r="D10" s="36">
        <f t="shared" si="0"/>
        <v>1.8927854865388078</v>
      </c>
      <c r="E10" s="35">
        <f>1.25*2560</f>
        <v>3200</v>
      </c>
      <c r="F10" s="36">
        <f t="shared" si="1"/>
        <v>3.2957701365118286</v>
      </c>
      <c r="G10" s="35">
        <f>1.25*4540</f>
        <v>5675</v>
      </c>
      <c r="H10" s="36">
        <f t="shared" si="2"/>
        <v>10.625505238093229</v>
      </c>
      <c r="I10" s="35">
        <f>1.25*16265.6</f>
        <v>20332</v>
      </c>
      <c r="J10" s="36">
        <f t="shared" si="3"/>
        <v>23.393649760865742</v>
      </c>
      <c r="K10" s="35">
        <f>1.25*36877.8</f>
        <v>46097.25</v>
      </c>
      <c r="L10" s="36">
        <f t="shared" si="4"/>
        <v>29.456909351337412</v>
      </c>
      <c r="M10" s="35">
        <f>1.25*44674.08</f>
        <v>55842.600000000006</v>
      </c>
      <c r="N10" s="36">
        <f t="shared" si="5"/>
        <v>33.75668271404632</v>
      </c>
      <c r="O10" s="35">
        <f>1.25*35178.72</f>
        <v>43973.4</v>
      </c>
      <c r="P10" s="36">
        <f t="shared" si="6"/>
        <v>21.132152725065616</v>
      </c>
      <c r="Q10" s="18"/>
    </row>
    <row r="11" spans="1:17" ht="15">
      <c r="A11" s="20"/>
      <c r="B11" s="28" t="s">
        <v>38</v>
      </c>
      <c r="C11" s="35">
        <f>1.25*13420.64</f>
        <v>16775.8</v>
      </c>
      <c r="D11" s="36">
        <f t="shared" si="0"/>
        <v>20.380610247161574</v>
      </c>
      <c r="E11" s="35">
        <f>1.25*14773.28</f>
        <v>18466.600000000002</v>
      </c>
      <c r="F11" s="36">
        <f t="shared" si="1"/>
        <v>19.01927150090917</v>
      </c>
      <c r="G11" s="35">
        <f>1.25*9446.42</f>
        <v>11808.025</v>
      </c>
      <c r="H11" s="36">
        <f t="shared" si="2"/>
        <v>22.108587046526132</v>
      </c>
      <c r="I11" s="35">
        <f>1.25*12256.53</f>
        <v>15320.6625</v>
      </c>
      <c r="J11" s="36">
        <f t="shared" si="3"/>
        <v>17.627690961510414</v>
      </c>
      <c r="K11" s="35">
        <f>1.25*15400.24</f>
        <v>19250.3</v>
      </c>
      <c r="L11" s="36">
        <f t="shared" si="4"/>
        <v>12.301261834188603</v>
      </c>
      <c r="M11" s="35">
        <f>1.25*15381.2</f>
        <v>19226.5</v>
      </c>
      <c r="N11" s="36">
        <f t="shared" si="5"/>
        <v>11.622361068460487</v>
      </c>
      <c r="O11" s="35">
        <f>1.25*35137.36</f>
        <v>43921.7</v>
      </c>
      <c r="P11" s="36">
        <f t="shared" si="6"/>
        <v>21.107307425500746</v>
      </c>
      <c r="Q11" s="18"/>
    </row>
    <row r="12" spans="1:17" ht="15">
      <c r="A12" s="20"/>
      <c r="B12" s="28" t="s">
        <v>39</v>
      </c>
      <c r="C12" s="35">
        <f>1.25*3888.4-C13</f>
        <v>3192.5</v>
      </c>
      <c r="D12" s="36">
        <f t="shared" si="0"/>
        <v>3.878509413206126</v>
      </c>
      <c r="E12" s="35">
        <f>1.25*4156.16-E13</f>
        <v>4500.2</v>
      </c>
      <c r="F12" s="36">
        <f t="shared" si="1"/>
        <v>4.634882740103291</v>
      </c>
      <c r="G12" s="35">
        <f>1591.6*1.25-G13</f>
        <v>1572.5</v>
      </c>
      <c r="H12" s="36">
        <f t="shared" si="2"/>
        <v>2.9442479272073308</v>
      </c>
      <c r="I12" s="35">
        <f>1513.4*1.25-I13</f>
        <v>1196.75</v>
      </c>
      <c r="J12" s="36">
        <f t="shared" si="3"/>
        <v>1.3769599818668146</v>
      </c>
      <c r="K12" s="35">
        <f>2206.8*1.25-K13</f>
        <v>2341.5</v>
      </c>
      <c r="L12" s="36">
        <f t="shared" si="4"/>
        <v>1.4962574393517303</v>
      </c>
      <c r="M12" s="35">
        <f>2132*1.25-M13</f>
        <v>2387</v>
      </c>
      <c r="N12" s="36">
        <f t="shared" si="5"/>
        <v>1.4429342766710103</v>
      </c>
      <c r="O12" s="35">
        <f>1.25*4785.6-O13</f>
        <v>5565</v>
      </c>
      <c r="P12" s="36">
        <f t="shared" si="6"/>
        <v>2.674353811963372</v>
      </c>
      <c r="Q12" s="18"/>
    </row>
    <row r="13" spans="1:17" ht="15">
      <c r="A13" s="20"/>
      <c r="B13" s="28" t="s">
        <v>40</v>
      </c>
      <c r="C13" s="35">
        <f>1.25*1334.4</f>
        <v>1668</v>
      </c>
      <c r="D13" s="36">
        <f t="shared" si="0"/>
        <v>2.0264224592726134</v>
      </c>
      <c r="E13" s="35">
        <f>1.25*556</f>
        <v>695</v>
      </c>
      <c r="F13" s="36">
        <f t="shared" si="1"/>
        <v>0.7158000765236628</v>
      </c>
      <c r="G13" s="35">
        <f>1.25*333.6</f>
        <v>417</v>
      </c>
      <c r="H13" s="36">
        <f t="shared" si="2"/>
        <v>0.7807639972308152</v>
      </c>
      <c r="I13" s="35">
        <f>1.25*556</f>
        <v>695</v>
      </c>
      <c r="J13" s="36">
        <f t="shared" si="3"/>
        <v>0.79965505527256</v>
      </c>
      <c r="K13" s="35">
        <f>1.25*333.6</f>
        <v>417</v>
      </c>
      <c r="L13" s="36">
        <f t="shared" si="4"/>
        <v>0.2664699347468168</v>
      </c>
      <c r="M13" s="35">
        <f>1.25*222.4</f>
        <v>278</v>
      </c>
      <c r="N13" s="36">
        <f t="shared" si="5"/>
        <v>0.16805015874090526</v>
      </c>
      <c r="O13" s="35">
        <f>1.25*333.6</f>
        <v>417</v>
      </c>
      <c r="P13" s="36">
        <f t="shared" si="6"/>
        <v>0.20039632337623112</v>
      </c>
      <c r="Q13" s="18"/>
    </row>
    <row r="14" spans="1:17" ht="15">
      <c r="A14" s="20"/>
      <c r="B14" s="28" t="s">
        <v>41</v>
      </c>
      <c r="C14" s="35">
        <f>1.25*2470</f>
        <v>3087.5</v>
      </c>
      <c r="D14" s="36">
        <f t="shared" si="0"/>
        <v>3.750946848323857</v>
      </c>
      <c r="E14" s="35">
        <f>1.25*4806.24</f>
        <v>6007.799999999999</v>
      </c>
      <c r="F14" s="36">
        <f t="shared" si="1"/>
        <v>6.187602445667426</v>
      </c>
      <c r="G14" s="35">
        <f>1.25*3957.04</f>
        <v>4946.3</v>
      </c>
      <c r="H14" s="36">
        <f t="shared" si="2"/>
        <v>9.261134195450316</v>
      </c>
      <c r="I14" s="35">
        <f>1.25*2252</f>
        <v>2815</v>
      </c>
      <c r="J14" s="36">
        <f t="shared" si="3"/>
        <v>3.2388906195572034</v>
      </c>
      <c r="K14" s="35">
        <f>1.25*3869.84</f>
        <v>4837.3</v>
      </c>
      <c r="L14" s="36">
        <f t="shared" si="4"/>
        <v>3.0911151447260834</v>
      </c>
      <c r="M14" s="35">
        <f>1.25*5697.2</f>
        <v>7121.5</v>
      </c>
      <c r="N14" s="36">
        <f t="shared" si="5"/>
        <v>4.304925199544449</v>
      </c>
      <c r="O14" s="35">
        <f>1.25*6672.64</f>
        <v>8340.800000000001</v>
      </c>
      <c r="P14" s="36">
        <f t="shared" si="6"/>
        <v>4.008310920902803</v>
      </c>
      <c r="Q14" s="18"/>
    </row>
    <row r="15" spans="1:17" ht="15">
      <c r="A15" s="20"/>
      <c r="B15" s="28" t="s">
        <v>42</v>
      </c>
      <c r="C15" s="35">
        <f>1.25*3985.44</f>
        <v>4981.8</v>
      </c>
      <c r="D15" s="36">
        <f>100*C15/C$26</f>
        <v>7.565371258696271</v>
      </c>
      <c r="E15" s="35">
        <f>1.25*4834.88</f>
        <v>6043.6</v>
      </c>
      <c r="F15" s="36">
        <f>100*E15/E$26</f>
        <v>7.780592342587066</v>
      </c>
      <c r="G15" s="35">
        <f>1.25*1378.48</f>
        <v>1723.1</v>
      </c>
      <c r="H15" s="36">
        <f>100*G15/G$26</f>
        <v>4.032777109197895</v>
      </c>
      <c r="I15" s="35">
        <f>1.25*3331.09</f>
        <v>4163.8625</v>
      </c>
      <c r="J15" s="36">
        <f>100*I15/I$26</f>
        <v>5.988585787023093</v>
      </c>
      <c r="K15" s="35">
        <f>1.25*2779.6</f>
        <v>3474.5</v>
      </c>
      <c r="L15" s="36">
        <f>100*K15/K$26</f>
        <v>2.775329101552203</v>
      </c>
      <c r="M15" s="35">
        <f>1.25*5393.68</f>
        <v>6742.1</v>
      </c>
      <c r="N15" s="36">
        <f>100*M15/M$26</f>
        <v>5.094473809564107</v>
      </c>
      <c r="O15" s="35">
        <f>1.25*5386.4</f>
        <v>6733</v>
      </c>
      <c r="P15" s="36">
        <f>100*O15/O$26</f>
        <v>4.044569680132387</v>
      </c>
      <c r="Q15" s="18"/>
    </row>
    <row r="16" spans="1:17" ht="15">
      <c r="A16" s="20"/>
      <c r="B16" s="28" t="s">
        <v>43</v>
      </c>
      <c r="C16" s="35">
        <f>1.25*3390.04</f>
        <v>4237.55</v>
      </c>
      <c r="D16" s="36">
        <f aca="true" t="shared" si="7" ref="D16:D24">80*C16/C$26</f>
        <v>5.1481213982557925</v>
      </c>
      <c r="E16" s="35">
        <f>1.25*3225.12</f>
        <v>4031.3999999999996</v>
      </c>
      <c r="F16" s="36">
        <f aca="true" t="shared" si="8" ref="F16:F24">80*E16/E$26</f>
        <v>4.152052415104309</v>
      </c>
      <c r="G16" s="35">
        <f>1.25*1903.76</f>
        <v>2379.7</v>
      </c>
      <c r="H16" s="36">
        <f aca="true" t="shared" si="9" ref="H16:H24">80*G16/G$26</f>
        <v>4.455597324245015</v>
      </c>
      <c r="I16" s="35">
        <f>1.25*2666.56</f>
        <v>3333.2</v>
      </c>
      <c r="J16" s="36">
        <f aca="true" t="shared" si="10" ref="J16:J24">80*I16/I$26</f>
        <v>3.835122633430931</v>
      </c>
      <c r="K16" s="35">
        <f>1.25*4256.48</f>
        <v>5320.599999999999</v>
      </c>
      <c r="L16" s="36">
        <f aca="true" t="shared" si="11" ref="L16:L24">80*K16/K$26</f>
        <v>3.3999518820477537</v>
      </c>
      <c r="M16" s="35">
        <f>1.25*3737.76</f>
        <v>4672.200000000001</v>
      </c>
      <c r="N16" s="36">
        <f aca="true" t="shared" si="12" ref="N16:N24">80*M16/M$26</f>
        <v>2.8243307614002076</v>
      </c>
      <c r="O16" s="35">
        <f>1.25*4554.4</f>
        <v>5693</v>
      </c>
      <c r="P16" s="36">
        <f aca="true" t="shared" si="13" ref="P16:P24">80*O16/O$26</f>
        <v>2.7358663524721436</v>
      </c>
      <c r="Q16" s="18"/>
    </row>
    <row r="17" spans="1:17" ht="15">
      <c r="A17" s="20"/>
      <c r="B17" s="28" t="s">
        <v>44</v>
      </c>
      <c r="C17" s="35">
        <f>1.25*3356.48</f>
        <v>4195.6</v>
      </c>
      <c r="D17" s="36">
        <f t="shared" si="7"/>
        <v>5.097157116381401</v>
      </c>
      <c r="E17" s="35">
        <f>1.25*3863.04</f>
        <v>4828.8</v>
      </c>
      <c r="F17" s="36">
        <f t="shared" si="8"/>
        <v>4.973317135996349</v>
      </c>
      <c r="G17" s="35">
        <f>1.25*2002.64</f>
        <v>2503.3</v>
      </c>
      <c r="H17" s="36">
        <f t="shared" si="9"/>
        <v>4.687018019827097</v>
      </c>
      <c r="I17" s="35">
        <f>1.25*3378.88</f>
        <v>4223.6</v>
      </c>
      <c r="J17" s="36">
        <f t="shared" si="10"/>
        <v>4.859601570430481</v>
      </c>
      <c r="K17" s="35">
        <f>1.25*3192.32</f>
        <v>3990.4</v>
      </c>
      <c r="L17" s="36">
        <f t="shared" si="11"/>
        <v>2.549931960704311</v>
      </c>
      <c r="M17" s="35">
        <f>1.25*3176.56</f>
        <v>3970.7</v>
      </c>
      <c r="N17" s="36">
        <f t="shared" si="12"/>
        <v>2.400276134217671</v>
      </c>
      <c r="O17" s="35">
        <f>1.25*3868</f>
        <v>4835</v>
      </c>
      <c r="P17" s="36">
        <f t="shared" si="13"/>
        <v>2.3235401043742865</v>
      </c>
      <c r="Q17" s="18"/>
    </row>
    <row r="18" spans="1:17" ht="15">
      <c r="A18" s="20"/>
      <c r="B18" s="28" t="s">
        <v>45</v>
      </c>
      <c r="C18" s="35">
        <f>1.25*1878</f>
        <v>2347.5</v>
      </c>
      <c r="D18" s="36">
        <f t="shared" si="7"/>
        <v>2.8519344862964386</v>
      </c>
      <c r="E18" s="35">
        <f>1.25*2208.4</f>
        <v>2760.5</v>
      </c>
      <c r="F18" s="36">
        <f t="shared" si="8"/>
        <v>2.843116706825282</v>
      </c>
      <c r="G18" s="35">
        <f>1.25*289.44</f>
        <v>361.8</v>
      </c>
      <c r="H18" s="36">
        <f t="shared" si="9"/>
        <v>0.6774110652232829</v>
      </c>
      <c r="I18" s="35">
        <f>1.25*698.4</f>
        <v>873</v>
      </c>
      <c r="J18" s="36">
        <f t="shared" si="10"/>
        <v>1.0044587960474027</v>
      </c>
      <c r="K18" s="35">
        <f>1.25*1230.48</f>
        <v>1538.1</v>
      </c>
      <c r="L18" s="36">
        <f t="shared" si="11"/>
        <v>0.9828714787387983</v>
      </c>
      <c r="M18" s="35">
        <f>1.25*2226.16</f>
        <v>2782.7</v>
      </c>
      <c r="N18" s="36">
        <f t="shared" si="12"/>
        <v>1.6821337292385508</v>
      </c>
      <c r="O18" s="35">
        <f>1.25*2230.4</f>
        <v>2788</v>
      </c>
      <c r="P18" s="36">
        <f t="shared" si="13"/>
        <v>1.3398200229566724</v>
      </c>
      <c r="Q18" s="18"/>
    </row>
    <row r="19" spans="1:17" ht="15">
      <c r="A19" s="20"/>
      <c r="B19" s="28" t="s">
        <v>46</v>
      </c>
      <c r="C19" s="35">
        <f>1.25*1970.88</f>
        <v>2463.6000000000004</v>
      </c>
      <c r="D19" s="36">
        <f t="shared" si="7"/>
        <v>2.992982236609119</v>
      </c>
      <c r="E19" s="35">
        <f>1.25*2790.88</f>
        <v>3488.6000000000004</v>
      </c>
      <c r="F19" s="36">
        <f t="shared" si="8"/>
        <v>3.593007405698489</v>
      </c>
      <c r="G19" s="35">
        <f>1.25*777.12</f>
        <v>971.4</v>
      </c>
      <c r="H19" s="36">
        <f t="shared" si="9"/>
        <v>1.8187869230455969</v>
      </c>
      <c r="I19" s="35">
        <f>1.25*818.4</f>
        <v>1023</v>
      </c>
      <c r="J19" s="36">
        <f t="shared" si="10"/>
        <v>1.1770462180486747</v>
      </c>
      <c r="K19" s="35">
        <f>1.25*1190.32</f>
        <v>1487.8999999999999</v>
      </c>
      <c r="L19" s="36">
        <f t="shared" si="11"/>
        <v>0.950792843908366</v>
      </c>
      <c r="M19" s="35">
        <f>1.25*2221.12</f>
        <v>2776.3999999999996</v>
      </c>
      <c r="N19" s="36">
        <f t="shared" si="12"/>
        <v>1.678325398303055</v>
      </c>
      <c r="O19" s="35">
        <f>1.25*3387.2</f>
        <v>4234</v>
      </c>
      <c r="P19" s="36">
        <f t="shared" si="13"/>
        <v>2.0347195040166968</v>
      </c>
      <c r="Q19" s="18"/>
    </row>
    <row r="20" spans="1:17" ht="15">
      <c r="A20" s="20"/>
      <c r="B20" s="28" t="s">
        <v>47</v>
      </c>
      <c r="C20" s="35">
        <f>1.25*1518.8</f>
        <v>1898.5</v>
      </c>
      <c r="D20" s="36">
        <f t="shared" si="7"/>
        <v>2.306452661228451</v>
      </c>
      <c r="E20" s="35">
        <f>1.25*1778</f>
        <v>2222.5</v>
      </c>
      <c r="F20" s="36">
        <f t="shared" si="8"/>
        <v>2.289015352624231</v>
      </c>
      <c r="G20" s="35">
        <f>1.25*362.4</f>
        <v>453</v>
      </c>
      <c r="H20" s="36">
        <f t="shared" si="9"/>
        <v>0.8481680833226842</v>
      </c>
      <c r="I20" s="35">
        <f>1.25*142.4</f>
        <v>178</v>
      </c>
      <c r="J20" s="36">
        <f t="shared" si="10"/>
        <v>0.2048037407748427</v>
      </c>
      <c r="K20" s="35">
        <f>1.25*92</f>
        <v>115</v>
      </c>
      <c r="L20" s="36">
        <f t="shared" si="11"/>
        <v>0.0734869124601533</v>
      </c>
      <c r="M20" s="35">
        <f>1.25*140</f>
        <v>175</v>
      </c>
      <c r="N20" s="36">
        <f t="shared" si="12"/>
        <v>0.10578697043042598</v>
      </c>
      <c r="O20" s="35">
        <f>1.25*43.2</f>
        <v>54</v>
      </c>
      <c r="P20" s="36">
        <f t="shared" si="13"/>
        <v>0.025950603027137843</v>
      </c>
      <c r="Q20" s="18"/>
    </row>
    <row r="21" spans="1:17" ht="15">
      <c r="A21" s="20"/>
      <c r="B21" s="28" t="s">
        <v>48</v>
      </c>
      <c r="C21" s="35">
        <v>60</v>
      </c>
      <c r="D21" s="36">
        <f t="shared" si="7"/>
        <v>0.07289289421843932</v>
      </c>
      <c r="E21" s="35">
        <v>75</v>
      </c>
      <c r="F21" s="36">
        <f t="shared" si="8"/>
        <v>0.07724461257449598</v>
      </c>
      <c r="G21" s="35">
        <v>0</v>
      </c>
      <c r="H21" s="36">
        <f t="shared" si="9"/>
        <v>0</v>
      </c>
      <c r="I21" s="35">
        <v>304</v>
      </c>
      <c r="J21" s="36">
        <f t="shared" si="10"/>
        <v>0.3497771752559111</v>
      </c>
      <c r="K21" s="35">
        <v>492</v>
      </c>
      <c r="L21" s="36">
        <f t="shared" si="11"/>
        <v>0.3143961820034385</v>
      </c>
      <c r="M21" s="35">
        <v>626</v>
      </c>
      <c r="N21" s="36">
        <f t="shared" si="12"/>
        <v>0.3784151056539809</v>
      </c>
      <c r="O21" s="35">
        <v>244</v>
      </c>
      <c r="P21" s="36">
        <f t="shared" si="13"/>
        <v>0.11725828034484508</v>
      </c>
      <c r="Q21" s="18"/>
    </row>
    <row r="22" spans="1:17" ht="15">
      <c r="A22" s="20"/>
      <c r="B22" s="28" t="s">
        <v>60</v>
      </c>
      <c r="C22" s="35">
        <f>1.25*2709.76</f>
        <v>3387.2000000000003</v>
      </c>
      <c r="D22" s="36">
        <f t="shared" si="7"/>
        <v>4.1150468549449615</v>
      </c>
      <c r="E22" s="35">
        <f>1.25*3656.4</f>
        <v>4570.5</v>
      </c>
      <c r="F22" s="36">
        <f t="shared" si="8"/>
        <v>4.707286690289785</v>
      </c>
      <c r="G22" s="35">
        <f>1.25*1407.2</f>
        <v>1759</v>
      </c>
      <c r="H22" s="36">
        <f t="shared" si="9"/>
        <v>3.2934385398777075</v>
      </c>
      <c r="I22" s="35">
        <f>1.25*1168.8</f>
        <v>1461</v>
      </c>
      <c r="J22" s="36">
        <f t="shared" si="10"/>
        <v>1.6810014902923887</v>
      </c>
      <c r="K22" s="35">
        <f>1.25*3529.6</f>
        <v>4412</v>
      </c>
      <c r="L22" s="36">
        <f t="shared" si="11"/>
        <v>2.819341371949534</v>
      </c>
      <c r="M22" s="35">
        <f>1.25*4626.8</f>
        <v>5783.5</v>
      </c>
      <c r="N22" s="36">
        <f t="shared" si="12"/>
        <v>3.4961082484821064</v>
      </c>
      <c r="O22" s="35">
        <f>1.25*3898</f>
        <v>4872.5</v>
      </c>
      <c r="P22" s="36">
        <f t="shared" si="13"/>
        <v>2.3415613564764657</v>
      </c>
      <c r="Q22" s="18"/>
    </row>
    <row r="23" spans="1:17" ht="15">
      <c r="A23" s="20"/>
      <c r="B23" s="28" t="s">
        <v>49</v>
      </c>
      <c r="C23" s="35">
        <f>1.25*656.8</f>
        <v>821</v>
      </c>
      <c r="D23" s="36">
        <f t="shared" si="7"/>
        <v>0.9974177692223114</v>
      </c>
      <c r="E23" s="35">
        <f>1.25*3420</f>
        <v>4275</v>
      </c>
      <c r="F23" s="36">
        <f t="shared" si="8"/>
        <v>4.402942916746271</v>
      </c>
      <c r="G23" s="35">
        <f>1.25*282</f>
        <v>352.5</v>
      </c>
      <c r="H23" s="36">
        <f t="shared" si="9"/>
        <v>0.6599983429828834</v>
      </c>
      <c r="I23" s="35">
        <f>1.25*4708.24</f>
        <v>5885.299999999999</v>
      </c>
      <c r="J23" s="36">
        <f t="shared" si="10"/>
        <v>6.771525031360571</v>
      </c>
      <c r="K23" s="35">
        <f>1.25*6789.6</f>
        <v>8487</v>
      </c>
      <c r="L23" s="36">
        <f t="shared" si="11"/>
        <v>5.423334139559314</v>
      </c>
      <c r="M23" s="35">
        <f>1.25*4798.48</f>
        <v>5998.099999999999</v>
      </c>
      <c r="N23" s="36">
        <f t="shared" si="12"/>
        <v>3.625833299078503</v>
      </c>
      <c r="O23" s="35">
        <f>1.25*5218.4</f>
        <v>6523</v>
      </c>
      <c r="P23" s="36">
        <f t="shared" si="13"/>
        <v>3.1347367323337068</v>
      </c>
      <c r="Q23" s="18"/>
    </row>
    <row r="24" spans="1:17" ht="15.75" thickBot="1">
      <c r="A24" s="20"/>
      <c r="B24" s="28" t="s">
        <v>50</v>
      </c>
      <c r="C24" s="35">
        <f>1.25*111.68</f>
        <v>139.60000000000002</v>
      </c>
      <c r="D24" s="36">
        <f t="shared" si="7"/>
        <v>0.16959746721490218</v>
      </c>
      <c r="E24" s="35">
        <f>1.25*82</f>
        <v>102.5</v>
      </c>
      <c r="F24" s="36">
        <f t="shared" si="8"/>
        <v>0.10556763718514452</v>
      </c>
      <c r="G24" s="35">
        <f>1.25*53.04</f>
        <v>66.3</v>
      </c>
      <c r="H24" s="36">
        <f t="shared" si="9"/>
        <v>0.1241358585525253</v>
      </c>
      <c r="I24" s="35">
        <f>1.25*46</f>
        <v>57.5</v>
      </c>
      <c r="J24" s="36">
        <f t="shared" si="10"/>
        <v>0.06615851176715425</v>
      </c>
      <c r="K24" s="35">
        <f>1.25*69.68</f>
        <v>87.10000000000001</v>
      </c>
      <c r="L24" s="36">
        <f t="shared" si="11"/>
        <v>0.05565834848069004</v>
      </c>
      <c r="M24" s="35">
        <f>1.25*107.2</f>
        <v>134</v>
      </c>
      <c r="N24" s="36">
        <f t="shared" si="12"/>
        <v>0.0810025945010119</v>
      </c>
      <c r="O24" s="35">
        <f>1.25*182.12</f>
        <v>227.65</v>
      </c>
      <c r="P24" s="36">
        <f t="shared" si="13"/>
        <v>0.109401014428295</v>
      </c>
      <c r="Q24" s="18"/>
    </row>
    <row r="25" spans="1:17" ht="16.5" thickBot="1" thickTop="1">
      <c r="A25" s="20"/>
      <c r="B25" s="27" t="s">
        <v>9</v>
      </c>
      <c r="C25" s="33">
        <f>SUM(C4:C24)</f>
        <v>82297.55000000002</v>
      </c>
      <c r="D25" s="34"/>
      <c r="E25" s="33">
        <f>SUM(E4:E24)</f>
        <v>97075.40000000001</v>
      </c>
      <c r="F25" s="34"/>
      <c r="G25" s="33">
        <f>SUM(G4:G24)</f>
        <v>53409.22500000001</v>
      </c>
      <c r="H25" s="34"/>
      <c r="I25" s="33">
        <f>SUM(I4:I24)</f>
        <v>86836.475</v>
      </c>
      <c r="J25" s="34"/>
      <c r="K25" s="33">
        <f>SUM(K4:K24)</f>
        <v>156367.45</v>
      </c>
      <c r="L25" s="34"/>
      <c r="M25" s="33">
        <f>SUM(M4:M24)</f>
        <v>165270.30000000005</v>
      </c>
      <c r="N25" s="34"/>
      <c r="O25" s="33">
        <f>SUM(O4:O24)</f>
        <v>208026.65</v>
      </c>
      <c r="P25" s="34"/>
      <c r="Q25" s="18"/>
    </row>
    <row r="26" spans="1:17" ht="16.5" thickBot="1" thickTop="1">
      <c r="A26" s="20"/>
      <c r="B26" s="27" t="s">
        <v>10</v>
      </c>
      <c r="C26" s="33">
        <f>C25*0.8+C21*0.2</f>
        <v>65850.04000000002</v>
      </c>
      <c r="D26" s="34"/>
      <c r="E26" s="33">
        <f>E25*0.8+E21*0.2</f>
        <v>77675.32</v>
      </c>
      <c r="F26" s="34"/>
      <c r="G26" s="33">
        <f>G25*0.8+G21*0.2</f>
        <v>42727.38000000001</v>
      </c>
      <c r="H26" s="34"/>
      <c r="I26" s="33">
        <f>I25*0.8+I21*0.2</f>
        <v>69529.98000000001</v>
      </c>
      <c r="J26" s="34"/>
      <c r="K26" s="33">
        <f>K25*0.8+K21*0.2</f>
        <v>125192.36000000002</v>
      </c>
      <c r="L26" s="34"/>
      <c r="M26" s="33">
        <f>M25*0.8+M21*0.2</f>
        <v>132341.44000000006</v>
      </c>
      <c r="N26" s="34"/>
      <c r="O26" s="33">
        <f>O25*0.8+O21*0.2</f>
        <v>166470.12</v>
      </c>
      <c r="P26" s="34"/>
      <c r="Q26" s="18"/>
    </row>
    <row r="27" spans="1:17" ht="16.5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6.5" thickBot="1" thickTop="1">
      <c r="A28" s="32"/>
      <c r="B28" s="27" t="s">
        <v>11</v>
      </c>
      <c r="C28" s="38"/>
      <c r="D28" s="5">
        <v>26</v>
      </c>
      <c r="E28" s="38"/>
      <c r="F28" s="5">
        <v>25</v>
      </c>
      <c r="G28" s="38"/>
      <c r="H28" s="5">
        <v>22</v>
      </c>
      <c r="I28" s="38"/>
      <c r="J28" s="5">
        <v>23</v>
      </c>
      <c r="K28" s="38"/>
      <c r="L28" s="5">
        <v>24</v>
      </c>
      <c r="M28" s="38"/>
      <c r="N28" s="5">
        <v>24</v>
      </c>
      <c r="O28" s="38"/>
      <c r="P28" s="5">
        <v>27</v>
      </c>
      <c r="Q28" s="57"/>
    </row>
    <row r="29" spans="1:17" ht="16.5" thickBot="1" thickTop="1">
      <c r="A29" s="20"/>
      <c r="B29" s="27" t="s">
        <v>12</v>
      </c>
      <c r="C29" s="38">
        <f>C25/D28</f>
        <v>3165.2903846153854</v>
      </c>
      <c r="D29" s="37"/>
      <c r="E29" s="38">
        <f>E25/F28</f>
        <v>3883.0160000000005</v>
      </c>
      <c r="F29" s="37"/>
      <c r="G29" s="38">
        <f>G25/H28</f>
        <v>2427.692045454546</v>
      </c>
      <c r="H29" s="37"/>
      <c r="I29" s="38">
        <f>I25/J28</f>
        <v>3775.4989130434783</v>
      </c>
      <c r="J29" s="37"/>
      <c r="K29" s="38">
        <f>K25/L28</f>
        <v>6515.310416666667</v>
      </c>
      <c r="L29" s="37"/>
      <c r="M29" s="38">
        <f>M25/N28</f>
        <v>6886.262500000002</v>
      </c>
      <c r="N29" s="37"/>
      <c r="O29" s="38">
        <f>O25/P28</f>
        <v>7704.690740740741</v>
      </c>
      <c r="P29" s="37"/>
      <c r="Q29" s="19"/>
    </row>
    <row r="30" spans="1:17" ht="16.5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6.5" thickBot="1" thickTop="1">
      <c r="A31" s="32"/>
      <c r="B31" s="27" t="s">
        <v>73</v>
      </c>
      <c r="C31" s="38">
        <v>2879</v>
      </c>
      <c r="D31" s="37"/>
      <c r="E31" s="38">
        <v>3709</v>
      </c>
      <c r="F31" s="37"/>
      <c r="G31" s="38">
        <v>3804</v>
      </c>
      <c r="H31" s="37"/>
      <c r="I31" s="38">
        <v>4411</v>
      </c>
      <c r="J31" s="37"/>
      <c r="K31" s="38">
        <v>5754</v>
      </c>
      <c r="L31" s="37"/>
      <c r="M31" s="38">
        <v>6409</v>
      </c>
      <c r="N31" s="37"/>
      <c r="O31" s="38">
        <v>6131</v>
      </c>
      <c r="P31" s="37"/>
      <c r="Q31" s="56"/>
    </row>
    <row r="32" spans="1:17" ht="16.5" thickBot="1" thickTop="1">
      <c r="A32" s="32"/>
      <c r="B32" s="59" t="s">
        <v>70</v>
      </c>
      <c r="C32" s="53">
        <v>2559</v>
      </c>
      <c r="D32" s="54"/>
      <c r="E32" s="53">
        <v>3168</v>
      </c>
      <c r="F32" s="54"/>
      <c r="G32" s="53">
        <v>3391</v>
      </c>
      <c r="H32" s="54"/>
      <c r="I32" s="53">
        <v>4387</v>
      </c>
      <c r="J32" s="54"/>
      <c r="K32" s="53">
        <v>5207</v>
      </c>
      <c r="L32" s="54"/>
      <c r="M32" s="53">
        <v>6075</v>
      </c>
      <c r="N32" s="54"/>
      <c r="O32" s="53">
        <v>6320</v>
      </c>
      <c r="P32" s="55"/>
      <c r="Q32" s="56"/>
    </row>
    <row r="33" spans="1:17" ht="16.5" thickBot="1" thickTop="1">
      <c r="A33" s="20"/>
      <c r="B33" s="26"/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9"/>
      <c r="P33" s="32"/>
      <c r="Q33" s="20"/>
    </row>
    <row r="34" spans="1:17" ht="16.5" thickBot="1" thickTop="1">
      <c r="A34" s="20"/>
      <c r="B34" s="27" t="s">
        <v>0</v>
      </c>
      <c r="C34" s="49" t="s">
        <v>13</v>
      </c>
      <c r="D34" s="47" t="s">
        <v>2</v>
      </c>
      <c r="E34" s="49" t="s">
        <v>14</v>
      </c>
      <c r="F34" s="47" t="s">
        <v>2</v>
      </c>
      <c r="G34" s="49" t="s">
        <v>15</v>
      </c>
      <c r="H34" s="47" t="s">
        <v>2</v>
      </c>
      <c r="I34" s="49" t="s">
        <v>16</v>
      </c>
      <c r="J34" s="47" t="s">
        <v>2</v>
      </c>
      <c r="K34" s="49" t="s">
        <v>17</v>
      </c>
      <c r="L34" s="47" t="s">
        <v>2</v>
      </c>
      <c r="M34" s="49" t="s">
        <v>18</v>
      </c>
      <c r="N34" s="48"/>
      <c r="O34" s="50" t="s">
        <v>19</v>
      </c>
      <c r="P34" s="47" t="s">
        <v>2</v>
      </c>
      <c r="Q34" s="18"/>
    </row>
    <row r="35" spans="1:17" ht="15.75" thickTop="1">
      <c r="A35" s="20"/>
      <c r="B35" s="27" t="s">
        <v>31</v>
      </c>
      <c r="C35" s="33">
        <f>1.25*6604</f>
        <v>8255</v>
      </c>
      <c r="D35" s="34">
        <f aca="true" t="shared" si="14" ref="D35:D45">80*C35/C$57</f>
        <v>5.91301245958755</v>
      </c>
      <c r="E35" s="33">
        <f>1.25*4691.28</f>
        <v>5864.099999999999</v>
      </c>
      <c r="F35" s="34">
        <f aca="true" t="shared" si="15" ref="F35:F45">80*E35/E$57</f>
        <v>5.764580285943471</v>
      </c>
      <c r="G35" s="33">
        <f>1.25*6272.4</f>
        <v>7840.5</v>
      </c>
      <c r="H35" s="34">
        <f aca="true" t="shared" si="16" ref="H35:H45">80*G35/G$57</f>
        <v>7.160141559025963</v>
      </c>
      <c r="I35" s="33">
        <f>1.25*8217.06</f>
        <v>10271.324999999999</v>
      </c>
      <c r="J35" s="34">
        <f aca="true" t="shared" si="17" ref="J35:J45">80*I35/I$57</f>
        <v>5.385271870683113</v>
      </c>
      <c r="K35" s="33">
        <f>1.25*14438.56</f>
        <v>18048.2</v>
      </c>
      <c r="L35" s="34">
        <f aca="true" t="shared" si="18" ref="L35:L45">80*K35/K$57</f>
        <v>5.979020654690206</v>
      </c>
      <c r="M35" s="33"/>
      <c r="N35" s="40"/>
      <c r="O35" s="38">
        <f aca="true" t="shared" si="19" ref="O35:O55">C4+E4+G4+I4+K4+M4+O4+C35+E35+G35+I35+K35+M35</f>
        <v>92059.625</v>
      </c>
      <c r="P35" s="34">
        <f aca="true" t="shared" si="20" ref="P35:P45">O35*80/$O$57</f>
        <v>5.437155650820024</v>
      </c>
      <c r="Q35" s="18"/>
    </row>
    <row r="36" spans="1:17" ht="15">
      <c r="A36" s="20"/>
      <c r="B36" s="28" t="s">
        <v>32</v>
      </c>
      <c r="C36" s="35">
        <f>1.25*6420.72</f>
        <v>8025.900000000001</v>
      </c>
      <c r="D36" s="36">
        <f t="shared" si="14"/>
        <v>5.748909351835702</v>
      </c>
      <c r="E36" s="35">
        <f>1.25*3699.2</f>
        <v>4624</v>
      </c>
      <c r="F36" s="36">
        <f t="shared" si="15"/>
        <v>4.545526038471823</v>
      </c>
      <c r="G36" s="35">
        <f>1.25*6005.6</f>
        <v>7507</v>
      </c>
      <c r="H36" s="36">
        <f t="shared" si="16"/>
        <v>6.855580981264958</v>
      </c>
      <c r="I36" s="35">
        <f>1.25*9259.46</f>
        <v>11574.324999999999</v>
      </c>
      <c r="J36" s="36">
        <f t="shared" si="17"/>
        <v>6.068436822381175</v>
      </c>
      <c r="K36" s="35">
        <f>1.25*8235.76</f>
        <v>10294.7</v>
      </c>
      <c r="L36" s="36">
        <f t="shared" si="18"/>
        <v>3.410435607641719</v>
      </c>
      <c r="M36" s="35"/>
      <c r="N36" s="41"/>
      <c r="O36" s="42">
        <f t="shared" si="19"/>
        <v>90186.375</v>
      </c>
      <c r="P36" s="36">
        <f t="shared" si="20"/>
        <v>5.326519182086868</v>
      </c>
      <c r="Q36" s="18"/>
    </row>
    <row r="37" spans="1:17" ht="15">
      <c r="A37" s="20"/>
      <c r="B37" s="28" t="s">
        <v>33</v>
      </c>
      <c r="C37" s="35">
        <f>1.25*4154</f>
        <v>5192.5</v>
      </c>
      <c r="D37" s="36">
        <f t="shared" si="14"/>
        <v>3.7193600480203943</v>
      </c>
      <c r="E37" s="35">
        <f>1.25*3994.8</f>
        <v>4993.5</v>
      </c>
      <c r="F37" s="36">
        <f t="shared" si="15"/>
        <v>4.908755249374794</v>
      </c>
      <c r="G37" s="35">
        <f>1.25*2536.4</f>
        <v>3170.5</v>
      </c>
      <c r="H37" s="36">
        <f t="shared" si="16"/>
        <v>2.895380245251172</v>
      </c>
      <c r="I37" s="35">
        <f>1.25*5964</f>
        <v>7455</v>
      </c>
      <c r="J37" s="36">
        <f t="shared" si="17"/>
        <v>3.9086682386101708</v>
      </c>
      <c r="K37" s="35">
        <f>1.25*8046.8</f>
        <v>10058.5</v>
      </c>
      <c r="L37" s="36">
        <f t="shared" si="18"/>
        <v>3.332187102049038</v>
      </c>
      <c r="M37" s="35"/>
      <c r="N37" s="41"/>
      <c r="O37" s="42">
        <f t="shared" si="19"/>
        <v>55689.2</v>
      </c>
      <c r="P37" s="36">
        <f t="shared" si="20"/>
        <v>3.289073233457626</v>
      </c>
      <c r="Q37" s="18"/>
    </row>
    <row r="38" spans="1:17" ht="15">
      <c r="A38" s="20"/>
      <c r="B38" s="28" t="s">
        <v>34</v>
      </c>
      <c r="C38" s="35">
        <f>1.25*2400.08</f>
        <v>3000.1</v>
      </c>
      <c r="D38" s="36">
        <f t="shared" si="14"/>
        <v>2.148955624471061</v>
      </c>
      <c r="E38" s="35">
        <f>1.25*4689.76</f>
        <v>5862.200000000001</v>
      </c>
      <c r="F38" s="36">
        <f t="shared" si="15"/>
        <v>5.762712530867112</v>
      </c>
      <c r="G38" s="35">
        <f>1.25*5071.28</f>
        <v>6339.099999999999</v>
      </c>
      <c r="H38" s="36">
        <f t="shared" si="16"/>
        <v>5.78902536277297</v>
      </c>
      <c r="I38" s="35">
        <f>1.25*12900.48</f>
        <v>16125.599999999999</v>
      </c>
      <c r="J38" s="36">
        <f t="shared" si="17"/>
        <v>8.454677471298748</v>
      </c>
      <c r="K38" s="35">
        <f>1.25*18764.96</f>
        <v>23456.199999999997</v>
      </c>
      <c r="L38" s="36">
        <f t="shared" si="18"/>
        <v>7.770586777658958</v>
      </c>
      <c r="M38" s="35"/>
      <c r="N38" s="41"/>
      <c r="O38" s="42">
        <f t="shared" si="19"/>
        <v>86845.2</v>
      </c>
      <c r="P38" s="36">
        <f t="shared" si="20"/>
        <v>5.129185241918975</v>
      </c>
      <c r="Q38" s="18"/>
    </row>
    <row r="39" spans="1:17" ht="15">
      <c r="A39" s="20"/>
      <c r="B39" s="28" t="s">
        <v>35</v>
      </c>
      <c r="C39" s="35">
        <f>1.25*8477.28</f>
        <v>10596.6</v>
      </c>
      <c r="D39" s="36">
        <f t="shared" si="14"/>
        <v>7.59028804715511</v>
      </c>
      <c r="E39" s="35">
        <f>1.25*7819.68</f>
        <v>9774.6</v>
      </c>
      <c r="F39" s="36">
        <f t="shared" si="15"/>
        <v>9.608715141792102</v>
      </c>
      <c r="G39" s="35">
        <f>1.25*10431.28</f>
        <v>13039.1</v>
      </c>
      <c r="H39" s="36">
        <f t="shared" si="16"/>
        <v>11.907633671614747</v>
      </c>
      <c r="I39" s="35">
        <f>1.25*11350.56</f>
        <v>14188.199999999999</v>
      </c>
      <c r="J39" s="36">
        <f t="shared" si="17"/>
        <v>7.43889560067724</v>
      </c>
      <c r="K39" s="35">
        <f>1.25*18455.36</f>
        <v>23069.2</v>
      </c>
      <c r="L39" s="36">
        <f t="shared" si="18"/>
        <v>7.642381139791188</v>
      </c>
      <c r="M39" s="35"/>
      <c r="N39" s="41"/>
      <c r="O39" s="42">
        <f t="shared" si="19"/>
        <v>156619.25000000003</v>
      </c>
      <c r="P39" s="36">
        <f t="shared" si="20"/>
        <v>9.250127188381379</v>
      </c>
      <c r="Q39" s="18"/>
    </row>
    <row r="40" spans="1:17" ht="15">
      <c r="A40" s="20"/>
      <c r="B40" s="28" t="s">
        <v>51</v>
      </c>
      <c r="C40" s="35">
        <f>1.25*3716</f>
        <v>4645</v>
      </c>
      <c r="D40" s="36">
        <f t="shared" si="14"/>
        <v>3.327188718932062</v>
      </c>
      <c r="E40" s="35">
        <f>1.25*4612</f>
        <v>5765</v>
      </c>
      <c r="F40" s="36">
        <f t="shared" si="15"/>
        <v>5.6671621132763965</v>
      </c>
      <c r="G40" s="35">
        <f>1.25*7776.8</f>
        <v>9721</v>
      </c>
      <c r="H40" s="36">
        <f t="shared" si="16"/>
        <v>8.877461398544911</v>
      </c>
      <c r="I40" s="35">
        <f>1.25*5195.04</f>
        <v>6493.8</v>
      </c>
      <c r="J40" s="36">
        <f t="shared" si="17"/>
        <v>3.4047095651088837</v>
      </c>
      <c r="K40" s="35">
        <f>1.25*11703.28</f>
        <v>14629.1</v>
      </c>
      <c r="L40" s="36">
        <f t="shared" si="18"/>
        <v>4.846338751760757</v>
      </c>
      <c r="M40" s="35"/>
      <c r="N40" s="41"/>
      <c r="O40" s="42">
        <f t="shared" si="19"/>
        <v>85544</v>
      </c>
      <c r="P40" s="36">
        <f t="shared" si="20"/>
        <v>5.052334755803623</v>
      </c>
      <c r="Q40" s="18"/>
    </row>
    <row r="41" spans="1:17" ht="15">
      <c r="A41" s="20"/>
      <c r="B41" s="28" t="s">
        <v>37</v>
      </c>
      <c r="C41" s="35">
        <f>1.25*25064.08</f>
        <v>31330.100000000002</v>
      </c>
      <c r="D41" s="36">
        <f t="shared" si="14"/>
        <v>22.44158348396413</v>
      </c>
      <c r="E41" s="35">
        <f>1.25*9093.6</f>
        <v>11367</v>
      </c>
      <c r="F41" s="36">
        <f t="shared" si="15"/>
        <v>11.17409050158071</v>
      </c>
      <c r="G41" s="35">
        <f>1.25*3106.4</f>
        <v>3883</v>
      </c>
      <c r="H41" s="36">
        <f t="shared" si="16"/>
        <v>3.5460531437660623</v>
      </c>
      <c r="I41" s="35">
        <f>1.25*6024.32</f>
        <v>7530.4</v>
      </c>
      <c r="J41" s="36">
        <f t="shared" si="17"/>
        <v>3.9482005773346787</v>
      </c>
      <c r="K41" s="35">
        <f>1.25*15509.6</f>
        <v>19387</v>
      </c>
      <c r="L41" s="36">
        <f t="shared" si="18"/>
        <v>6.4225392799547345</v>
      </c>
      <c r="M41" s="35"/>
      <c r="N41" s="41"/>
      <c r="O41" s="42">
        <f t="shared" si="19"/>
        <v>250175.75</v>
      </c>
      <c r="P41" s="36">
        <f t="shared" si="20"/>
        <v>14.775690133548096</v>
      </c>
      <c r="Q41" s="18"/>
    </row>
    <row r="42" spans="1:17" ht="15">
      <c r="A42" s="20"/>
      <c r="B42" s="28" t="s">
        <v>38</v>
      </c>
      <c r="C42" s="35">
        <f>1.25*20601.2</f>
        <v>25751.5</v>
      </c>
      <c r="D42" s="36">
        <f t="shared" si="14"/>
        <v>18.44566206578665</v>
      </c>
      <c r="E42" s="35">
        <f>1.25*15837.28</f>
        <v>19796.600000000002</v>
      </c>
      <c r="F42" s="36">
        <f t="shared" si="15"/>
        <v>19.46063165510625</v>
      </c>
      <c r="G42" s="35">
        <f>1.25*13308</f>
        <v>16635</v>
      </c>
      <c r="H42" s="36">
        <f t="shared" si="16"/>
        <v>15.191499883221336</v>
      </c>
      <c r="I42" s="35">
        <f>1.25*23865.71</f>
        <v>29832.137499999997</v>
      </c>
      <c r="J42" s="36">
        <f t="shared" si="17"/>
        <v>15.641036664802337</v>
      </c>
      <c r="K42" s="35">
        <f>1.25*39172.08</f>
        <v>48965.100000000006</v>
      </c>
      <c r="L42" s="36">
        <f t="shared" si="18"/>
        <v>16.221193485165916</v>
      </c>
      <c r="M42" s="35"/>
      <c r="N42" s="41"/>
      <c r="O42" s="42">
        <f t="shared" si="19"/>
        <v>285749.92500000005</v>
      </c>
      <c r="P42" s="36">
        <f t="shared" si="20"/>
        <v>16.876745038176598</v>
      </c>
      <c r="Q42" s="18"/>
    </row>
    <row r="43" spans="1:17" ht="15">
      <c r="A43" s="20"/>
      <c r="B43" s="28" t="s">
        <v>39</v>
      </c>
      <c r="C43" s="35">
        <f>2042*1.25-C44</f>
        <v>2135.5</v>
      </c>
      <c r="D43" s="36">
        <f t="shared" si="14"/>
        <v>1.5296472571107467</v>
      </c>
      <c r="E43" s="35">
        <f>1.25*2642.4-E44</f>
        <v>2330</v>
      </c>
      <c r="F43" s="36">
        <f t="shared" si="15"/>
        <v>2.2904575410119694</v>
      </c>
      <c r="G43" s="35">
        <f>1.25*4443.28-G44</f>
        <v>5415.099999999999</v>
      </c>
      <c r="H43" s="36">
        <f t="shared" si="16"/>
        <v>4.945205351225239</v>
      </c>
      <c r="I43" s="35">
        <f>1.25*5636.71-I44</f>
        <v>5590.2</v>
      </c>
      <c r="J43" s="36">
        <f t="shared" si="17"/>
        <v>2.9309506623043027</v>
      </c>
      <c r="K43" s="35">
        <f>1.25*10633.92-K44</f>
        <v>9970.3</v>
      </c>
      <c r="L43" s="36">
        <f t="shared" si="18"/>
        <v>3.302968142721034</v>
      </c>
      <c r="M43" s="35"/>
      <c r="N43" s="41"/>
      <c r="O43" s="42">
        <f t="shared" si="19"/>
        <v>46196.55</v>
      </c>
      <c r="P43" s="36">
        <f t="shared" si="20"/>
        <v>2.7284255489949016</v>
      </c>
      <c r="Q43" s="18"/>
    </row>
    <row r="44" spans="1:17" ht="15">
      <c r="A44" s="20"/>
      <c r="B44" s="28" t="s">
        <v>40</v>
      </c>
      <c r="C44" s="35">
        <f>1.25*333.6</f>
        <v>417</v>
      </c>
      <c r="D44" s="36">
        <f t="shared" si="14"/>
        <v>0.298694875305634</v>
      </c>
      <c r="E44" s="35">
        <f>1.25*778.4</f>
        <v>973</v>
      </c>
      <c r="F44" s="36">
        <f t="shared" si="15"/>
        <v>0.956487204894698</v>
      </c>
      <c r="G44" s="35">
        <f>1.25*111.2</f>
        <v>139</v>
      </c>
      <c r="H44" s="36">
        <f t="shared" si="16"/>
        <v>0.1269382917804488</v>
      </c>
      <c r="I44" s="35">
        <f>1.25*1164.55</f>
        <v>1455.6875</v>
      </c>
      <c r="J44" s="36">
        <f t="shared" si="17"/>
        <v>0.7632192483691271</v>
      </c>
      <c r="K44" s="35">
        <f>1.25*2657.68</f>
        <v>3322.1</v>
      </c>
      <c r="L44" s="36">
        <f t="shared" si="18"/>
        <v>1.1005476732830053</v>
      </c>
      <c r="M44" s="35"/>
      <c r="N44" s="41"/>
      <c r="O44" s="42">
        <f t="shared" si="19"/>
        <v>10893.7875</v>
      </c>
      <c r="P44" s="36">
        <f t="shared" si="20"/>
        <v>0.6434006032987593</v>
      </c>
      <c r="Q44" s="18"/>
    </row>
    <row r="45" spans="1:17" ht="15">
      <c r="A45" s="20"/>
      <c r="B45" s="28" t="s">
        <v>41</v>
      </c>
      <c r="C45" s="35">
        <f>1.25*5833.6</f>
        <v>7292</v>
      </c>
      <c r="D45" s="36">
        <f t="shared" si="14"/>
        <v>5.223220697191086</v>
      </c>
      <c r="E45" s="35">
        <f>1.25*5258</f>
        <v>6572.5</v>
      </c>
      <c r="F45" s="36">
        <f t="shared" si="15"/>
        <v>6.460958020730116</v>
      </c>
      <c r="G45" s="35">
        <f>1.25*4239.68</f>
        <v>5299.6</v>
      </c>
      <c r="H45" s="36">
        <f t="shared" si="16"/>
        <v>4.839727849781773</v>
      </c>
      <c r="I45" s="35">
        <f>1.25*13104.62</f>
        <v>16380.775000000001</v>
      </c>
      <c r="J45" s="36">
        <f t="shared" si="17"/>
        <v>8.58846612559618</v>
      </c>
      <c r="K45" s="35">
        <f>1.25*21038.56</f>
        <v>26298.2</v>
      </c>
      <c r="L45" s="36">
        <f t="shared" si="18"/>
        <v>8.712086578227966</v>
      </c>
      <c r="M45" s="35"/>
      <c r="N45" s="41"/>
      <c r="O45" s="42">
        <f t="shared" si="19"/>
        <v>98999.275</v>
      </c>
      <c r="P45" s="36">
        <f t="shared" si="20"/>
        <v>5.847019988331861</v>
      </c>
      <c r="Q45" s="18"/>
    </row>
    <row r="46" spans="1:17" ht="15">
      <c r="A46" s="20"/>
      <c r="B46" s="28" t="s">
        <v>42</v>
      </c>
      <c r="C46" s="35">
        <f>1.25*4681.12</f>
        <v>5851.4</v>
      </c>
      <c r="D46" s="36">
        <f>100*C46/C$57</f>
        <v>5.2391582534873695</v>
      </c>
      <c r="E46" s="35">
        <f>1.25*3232.8</f>
        <v>4041</v>
      </c>
      <c r="F46" s="36">
        <f>100*E46/E$57</f>
        <v>4.965525173406314</v>
      </c>
      <c r="G46" s="35">
        <f>1.25*4303.2</f>
        <v>5379</v>
      </c>
      <c r="H46" s="36">
        <f>100*G46/G$57</f>
        <v>6.14029740545894</v>
      </c>
      <c r="I46" s="35">
        <f>1.25*4453.12</f>
        <v>5566.4</v>
      </c>
      <c r="J46" s="36">
        <f>100*I46/I$57</f>
        <v>3.6480903560361595</v>
      </c>
      <c r="K46" s="35">
        <f>1.25*10121.2</f>
        <v>12651.5</v>
      </c>
      <c r="L46" s="36">
        <f>100*K46/K$57</f>
        <v>5.238997504793632</v>
      </c>
      <c r="M46" s="35"/>
      <c r="N46" s="41"/>
      <c r="O46" s="42">
        <f t="shared" si="19"/>
        <v>67351.26250000001</v>
      </c>
      <c r="P46" s="36">
        <f>O46*100/$O$57</f>
        <v>4.972311389109746</v>
      </c>
      <c r="Q46" s="18"/>
    </row>
    <row r="47" spans="1:17" ht="15">
      <c r="A47" s="20"/>
      <c r="B47" s="28" t="s">
        <v>43</v>
      </c>
      <c r="C47" s="35">
        <f>1.25*4048.48</f>
        <v>5060.6</v>
      </c>
      <c r="D47" s="36">
        <f aca="true" t="shared" si="21" ref="D47:D55">80*C47/C$57</f>
        <v>3.6248807817066937</v>
      </c>
      <c r="E47" s="35">
        <f>1.25*2432.32</f>
        <v>3040.4</v>
      </c>
      <c r="F47" s="36">
        <f aca="true" t="shared" si="22" ref="F47:F55">80*E47/E$57</f>
        <v>2.9888013337737305</v>
      </c>
      <c r="G47" s="35">
        <f>1.25*3496.56</f>
        <v>4370.7</v>
      </c>
      <c r="H47" s="36">
        <f aca="true" t="shared" si="23" ref="H47:H55">80*G47/G$57</f>
        <v>3.9914330351425003</v>
      </c>
      <c r="I47" s="35">
        <f>1.25*2708.48</f>
        <v>3385.6</v>
      </c>
      <c r="J47" s="36">
        <f aca="true" t="shared" si="24" ref="J47:J55">80*I47/I$57</f>
        <v>1.775075410950851</v>
      </c>
      <c r="K47" s="35">
        <f>1.25*6502</f>
        <v>8127.5</v>
      </c>
      <c r="L47" s="36">
        <f aca="true" t="shared" si="25" ref="L47:L55">80*K47/K$57</f>
        <v>2.6924840355821997</v>
      </c>
      <c r="M47" s="35"/>
      <c r="N47" s="41"/>
      <c r="O47" s="42">
        <f t="shared" si="19"/>
        <v>53652.45</v>
      </c>
      <c r="P47" s="36">
        <f aca="true" t="shared" si="26" ref="P47:P55">O47*80/$O$57</f>
        <v>3.1687802519056403</v>
      </c>
      <c r="Q47" s="18"/>
    </row>
    <row r="48" spans="1:17" ht="15">
      <c r="A48" s="20"/>
      <c r="B48" s="28" t="s">
        <v>44</v>
      </c>
      <c r="C48" s="35">
        <f>1.25*4463.2</f>
        <v>5579</v>
      </c>
      <c r="D48" s="36">
        <f t="shared" si="21"/>
        <v>3.996207936043482</v>
      </c>
      <c r="E48" s="35">
        <f>1.25*3273.04</f>
        <v>4091.3</v>
      </c>
      <c r="F48" s="36">
        <f t="shared" si="22"/>
        <v>4.021866496799258</v>
      </c>
      <c r="G48" s="35">
        <f>1.25*4286.4</f>
        <v>5358</v>
      </c>
      <c r="H48" s="36">
        <f t="shared" si="23"/>
        <v>4.893060196831976</v>
      </c>
      <c r="I48" s="35">
        <f>1.25*11064.48</f>
        <v>13830.599999999999</v>
      </c>
      <c r="J48" s="36">
        <f t="shared" si="24"/>
        <v>7.251405357601855</v>
      </c>
      <c r="K48" s="35">
        <f>1.25*12057.28</f>
        <v>15071.6</v>
      </c>
      <c r="L48" s="36">
        <f t="shared" si="25"/>
        <v>4.992930469477783</v>
      </c>
      <c r="M48" s="35"/>
      <c r="N48" s="41"/>
      <c r="O48" s="42">
        <f t="shared" si="19"/>
        <v>72477.90000000001</v>
      </c>
      <c r="P48" s="36">
        <f t="shared" si="26"/>
        <v>4.28063468154002</v>
      </c>
      <c r="Q48" s="18"/>
    </row>
    <row r="49" spans="1:17" ht="15">
      <c r="A49" s="20"/>
      <c r="B49" s="28" t="s">
        <v>45</v>
      </c>
      <c r="C49" s="35">
        <f>1.25*2181.04</f>
        <v>2726.3</v>
      </c>
      <c r="D49" s="36">
        <f t="shared" si="21"/>
        <v>1.9528341451936448</v>
      </c>
      <c r="E49" s="35">
        <f>1.25*2042.8</f>
        <v>2553.5</v>
      </c>
      <c r="F49" s="36">
        <f t="shared" si="22"/>
        <v>2.510164519731358</v>
      </c>
      <c r="G49" s="35">
        <f>1.25*1682.14</f>
        <v>2102.675</v>
      </c>
      <c r="H49" s="36">
        <f t="shared" si="23"/>
        <v>1.9202156307155047</v>
      </c>
      <c r="I49" s="35">
        <f>1.25*3260.56</f>
        <v>4075.7</v>
      </c>
      <c r="J49" s="36">
        <f t="shared" si="24"/>
        <v>2.136895927579272</v>
      </c>
      <c r="K49" s="35">
        <f>1.25*6492.8</f>
        <v>8116</v>
      </c>
      <c r="L49" s="36">
        <f t="shared" si="25"/>
        <v>2.688674307325147</v>
      </c>
      <c r="M49" s="35"/>
      <c r="N49" s="41"/>
      <c r="O49" s="42">
        <f t="shared" si="19"/>
        <v>33025.774999999994</v>
      </c>
      <c r="P49" s="36">
        <f t="shared" si="26"/>
        <v>1.9505432393838302</v>
      </c>
      <c r="Q49" s="18"/>
    </row>
    <row r="50" spans="1:17" ht="15">
      <c r="A50" s="20"/>
      <c r="B50" s="28" t="s">
        <v>46</v>
      </c>
      <c r="C50" s="35">
        <f>1.25*2062.32</f>
        <v>2577.9</v>
      </c>
      <c r="D50" s="36">
        <f t="shared" si="21"/>
        <v>1.8465360169074192</v>
      </c>
      <c r="E50" s="35">
        <f>1.25*1620.96</f>
        <v>2026.2</v>
      </c>
      <c r="F50" s="36">
        <f t="shared" si="22"/>
        <v>1.9918133345916105</v>
      </c>
      <c r="G50" s="35">
        <f>1.25*2292</f>
        <v>2865</v>
      </c>
      <c r="H50" s="36">
        <f t="shared" si="23"/>
        <v>2.6163899708704013</v>
      </c>
      <c r="I50" s="35">
        <f>1.25*3099.72</f>
        <v>3874.6499999999996</v>
      </c>
      <c r="J50" s="36">
        <f t="shared" si="24"/>
        <v>2.0314850960068274</v>
      </c>
      <c r="K50" s="35">
        <f>1.25*8491.92</f>
        <v>10614.9</v>
      </c>
      <c r="L50" s="36">
        <f t="shared" si="25"/>
        <v>3.5165116935467844</v>
      </c>
      <c r="M50" s="35"/>
      <c r="N50" s="41"/>
      <c r="O50" s="42">
        <f t="shared" si="19"/>
        <v>38403.55</v>
      </c>
      <c r="P50" s="36">
        <f t="shared" si="26"/>
        <v>2.268161301917636</v>
      </c>
      <c r="Q50" s="18"/>
    </row>
    <row r="51" spans="1:17" ht="15">
      <c r="A51" s="20"/>
      <c r="B51" s="28" t="s">
        <v>47</v>
      </c>
      <c r="C51" s="35">
        <f>1.25*107.2</f>
        <v>134</v>
      </c>
      <c r="D51" s="36">
        <f t="shared" si="21"/>
        <v>0.09598348511020371</v>
      </c>
      <c r="E51" s="35">
        <f>1.25*71.2</f>
        <v>89</v>
      </c>
      <c r="F51" s="36">
        <f t="shared" si="22"/>
        <v>0.08748957989273189</v>
      </c>
      <c r="G51" s="35">
        <f>1.25*2568</f>
        <v>3210</v>
      </c>
      <c r="H51" s="36">
        <f t="shared" si="23"/>
        <v>2.9314526375197167</v>
      </c>
      <c r="I51" s="35">
        <f>1.25*19988.44</f>
        <v>24985.55</v>
      </c>
      <c r="J51" s="36">
        <f t="shared" si="24"/>
        <v>13.099963207137003</v>
      </c>
      <c r="K51" s="35">
        <f>1.25*21586.72</f>
        <v>26983.4</v>
      </c>
      <c r="L51" s="36">
        <f t="shared" si="25"/>
        <v>8.939080126204702</v>
      </c>
      <c r="M51" s="35"/>
      <c r="N51" s="41"/>
      <c r="O51" s="42">
        <f t="shared" si="19"/>
        <v>60497.950000000004</v>
      </c>
      <c r="P51" s="36">
        <f t="shared" si="26"/>
        <v>3.573083973626085</v>
      </c>
      <c r="Q51" s="18"/>
    </row>
    <row r="52" spans="1:17" ht="15">
      <c r="A52" s="20"/>
      <c r="B52" s="28" t="s">
        <v>48</v>
      </c>
      <c r="C52" s="35">
        <v>120</v>
      </c>
      <c r="D52" s="36">
        <f t="shared" si="21"/>
        <v>0.08595535980018244</v>
      </c>
      <c r="E52" s="35">
        <v>0</v>
      </c>
      <c r="F52" s="36">
        <f t="shared" si="22"/>
        <v>0</v>
      </c>
      <c r="G52" s="35">
        <v>65</v>
      </c>
      <c r="H52" s="36">
        <f t="shared" si="23"/>
        <v>0.05935963284697246</v>
      </c>
      <c r="I52" s="35">
        <v>40</v>
      </c>
      <c r="J52" s="36">
        <f t="shared" si="24"/>
        <v>0.020972062983823855</v>
      </c>
      <c r="K52" s="35">
        <v>464</v>
      </c>
      <c r="L52" s="36">
        <f t="shared" si="25"/>
        <v>0.15371425315412374</v>
      </c>
      <c r="M52" s="35"/>
      <c r="N52" s="41"/>
      <c r="O52" s="42">
        <f t="shared" si="19"/>
        <v>2490</v>
      </c>
      <c r="P52" s="36">
        <f t="shared" si="26"/>
        <v>0.1470624888005123</v>
      </c>
      <c r="Q52" s="18"/>
    </row>
    <row r="53" spans="1:17" ht="15">
      <c r="A53" s="20"/>
      <c r="B53" s="28" t="s">
        <v>60</v>
      </c>
      <c r="C53" s="35">
        <f>1.25*3305.68</f>
        <v>4132.099999999999</v>
      </c>
      <c r="D53" s="36">
        <f t="shared" si="21"/>
        <v>2.9598011852527817</v>
      </c>
      <c r="E53" s="35">
        <f>1.25*3820.4</f>
        <v>4775.5</v>
      </c>
      <c r="F53" s="36">
        <f t="shared" si="22"/>
        <v>4.6944549300869785</v>
      </c>
      <c r="G53" s="35">
        <f>1.25*3754.8</f>
        <v>4693.5</v>
      </c>
      <c r="H53" s="36">
        <f t="shared" si="23"/>
        <v>4.286222104111773</v>
      </c>
      <c r="I53" s="35">
        <f>1.25*3620.99</f>
        <v>4526.237499999999</v>
      </c>
      <c r="J53" s="36">
        <f t="shared" si="24"/>
        <v>2.373113448243635</v>
      </c>
      <c r="K53" s="35">
        <f>1.25*7372.48</f>
        <v>9215.599999999999</v>
      </c>
      <c r="L53" s="36">
        <f t="shared" si="25"/>
        <v>3.0529505848429794</v>
      </c>
      <c r="M53" s="35"/>
      <c r="N53" s="41"/>
      <c r="O53" s="42">
        <f t="shared" si="19"/>
        <v>53588.637500000004</v>
      </c>
      <c r="P53" s="36">
        <f t="shared" si="26"/>
        <v>3.1650114064973742</v>
      </c>
      <c r="Q53" s="18"/>
    </row>
    <row r="54" spans="1:17" ht="15">
      <c r="A54" s="20"/>
      <c r="B54" s="28" t="s">
        <v>49</v>
      </c>
      <c r="C54" s="35">
        <f>1.25*5299.36</f>
        <v>6624.2</v>
      </c>
      <c r="D54" s="36">
        <f t="shared" si="21"/>
        <v>4.744879119903071</v>
      </c>
      <c r="E54" s="35">
        <f>1.25*2472.8</f>
        <v>3091</v>
      </c>
      <c r="F54" s="36">
        <f t="shared" si="22"/>
        <v>3.038542600544205</v>
      </c>
      <c r="G54" s="35">
        <f>1.25*1844</f>
        <v>2305</v>
      </c>
      <c r="H54" s="36">
        <f t="shared" si="23"/>
        <v>2.104983903265716</v>
      </c>
      <c r="I54" s="35">
        <f>1.25*2694.08</f>
        <v>3367.6</v>
      </c>
      <c r="J54" s="36">
        <f t="shared" si="24"/>
        <v>1.7656379826081303</v>
      </c>
      <c r="K54" s="35">
        <f>1.25*2079.36</f>
        <v>2599.2000000000003</v>
      </c>
      <c r="L54" s="36">
        <f t="shared" si="25"/>
        <v>0.8610648422374967</v>
      </c>
      <c r="M54" s="35"/>
      <c r="N54" s="41"/>
      <c r="O54" s="42">
        <f t="shared" si="19"/>
        <v>50328.899999999994</v>
      </c>
      <c r="P54" s="36">
        <f t="shared" si="26"/>
        <v>2.9724872661012456</v>
      </c>
      <c r="Q54" s="18"/>
    </row>
    <row r="55" spans="1:17" ht="15.75" thickBot="1">
      <c r="A55" s="20"/>
      <c r="B55" s="28" t="s">
        <v>50</v>
      </c>
      <c r="C55" s="35">
        <f>1.25*104.52</f>
        <v>130.65</v>
      </c>
      <c r="D55" s="36">
        <f t="shared" si="21"/>
        <v>0.09358389798244862</v>
      </c>
      <c r="E55" s="35">
        <f>1.25*76.8</f>
        <v>96</v>
      </c>
      <c r="F55" s="36">
        <f t="shared" si="22"/>
        <v>0.09437078280564337</v>
      </c>
      <c r="G55" s="35">
        <f>1.25*118.4</f>
        <v>148</v>
      </c>
      <c r="H55" s="36">
        <f t="shared" si="23"/>
        <v>0.13515731786695268</v>
      </c>
      <c r="I55" s="35">
        <f>1.25*136.11</f>
        <v>170.13750000000002</v>
      </c>
      <c r="J55" s="36">
        <f t="shared" si="24"/>
        <v>0.08920335914775829</v>
      </c>
      <c r="K55" s="35">
        <f>1.25*320.4</f>
        <v>400.5</v>
      </c>
      <c r="L55" s="36">
        <f t="shared" si="25"/>
        <v>0.1326779275608331</v>
      </c>
      <c r="M55" s="35"/>
      <c r="N55" s="41"/>
      <c r="O55" s="42">
        <f t="shared" si="19"/>
        <v>1759.9375</v>
      </c>
      <c r="P55" s="36">
        <f t="shared" si="26"/>
        <v>0.10394409192102473</v>
      </c>
      <c r="Q55" s="18"/>
    </row>
    <row r="56" spans="1:17" ht="16.5" thickBot="1" thickTop="1">
      <c r="A56" s="20"/>
      <c r="B56" s="27" t="s">
        <v>9</v>
      </c>
      <c r="C56" s="33">
        <f>SUM(C35:C55)</f>
        <v>139577.35</v>
      </c>
      <c r="D56" s="34"/>
      <c r="E56" s="33">
        <f>SUM(E35:E55)</f>
        <v>101726.4</v>
      </c>
      <c r="F56" s="34"/>
      <c r="G56" s="33">
        <f>SUM(G35:G55)</f>
        <v>109485.77500000001</v>
      </c>
      <c r="H56" s="34"/>
      <c r="I56" s="33">
        <f>SUM(I35:I55)</f>
        <v>190719.925</v>
      </c>
      <c r="J56" s="34"/>
      <c r="K56" s="33">
        <f>SUM(K35:K55)</f>
        <v>301742.8</v>
      </c>
      <c r="L56" s="34"/>
      <c r="M56" s="33">
        <f>SUM(M35:M55)</f>
        <v>0</v>
      </c>
      <c r="N56" s="5"/>
      <c r="O56" s="38">
        <f>SUM(O35:O55)</f>
        <v>1692535.2999999998</v>
      </c>
      <c r="P56" s="34"/>
      <c r="Q56" s="18"/>
    </row>
    <row r="57" spans="1:17" ht="16.5" thickBot="1" thickTop="1">
      <c r="A57" s="20"/>
      <c r="B57" s="27" t="s">
        <v>10</v>
      </c>
      <c r="C57" s="33">
        <f>C56*0.8+C52*0.2</f>
        <v>111685.88</v>
      </c>
      <c r="D57" s="34"/>
      <c r="E57" s="33">
        <f>E56*0.8+E52*0.2</f>
        <v>81381.12</v>
      </c>
      <c r="F57" s="34"/>
      <c r="G57" s="33">
        <f>G56*0.8+G52*0.2</f>
        <v>87601.62000000001</v>
      </c>
      <c r="H57" s="34"/>
      <c r="I57" s="33">
        <f>I56*0.8+I52*0.2</f>
        <v>152583.94</v>
      </c>
      <c r="J57" s="34"/>
      <c r="K57" s="33">
        <f>K56*0.8+K52*0.2</f>
        <v>241487.03999999998</v>
      </c>
      <c r="L57" s="34"/>
      <c r="M57" s="33">
        <f>M56*0.8+M46*0.2</f>
        <v>0</v>
      </c>
      <c r="N57" s="5"/>
      <c r="O57" s="38">
        <f>O56*0.8+O52*0.2</f>
        <v>1354526.24</v>
      </c>
      <c r="P57" s="34"/>
      <c r="Q57" s="18"/>
    </row>
    <row r="58" spans="1:17" ht="16.5" thickBot="1" thickTop="1">
      <c r="A58" s="20"/>
      <c r="B58" s="29"/>
      <c r="C58" s="37"/>
      <c r="D58" s="5"/>
      <c r="E58" s="37"/>
      <c r="F58" s="5"/>
      <c r="G58" s="37"/>
      <c r="H58" s="5"/>
      <c r="I58" s="37"/>
      <c r="J58" s="5"/>
      <c r="K58" s="37"/>
      <c r="L58" s="5"/>
      <c r="M58" s="37"/>
      <c r="N58" s="5"/>
      <c r="O58" s="37"/>
      <c r="P58" s="5"/>
      <c r="Q58" s="20"/>
    </row>
    <row r="59" spans="1:17" ht="16.5" thickBot="1" thickTop="1">
      <c r="A59" s="20"/>
      <c r="B59" s="27" t="s">
        <v>11</v>
      </c>
      <c r="C59" s="38"/>
      <c r="D59" s="5">
        <v>26</v>
      </c>
      <c r="E59" s="38"/>
      <c r="F59" s="5">
        <v>26</v>
      </c>
      <c r="G59" s="38"/>
      <c r="H59" s="5">
        <v>27</v>
      </c>
      <c r="I59" s="38"/>
      <c r="J59" s="5">
        <v>26</v>
      </c>
      <c r="K59" s="38"/>
      <c r="L59" s="5">
        <v>23</v>
      </c>
      <c r="M59" s="38"/>
      <c r="N59" s="5"/>
      <c r="O59" s="38"/>
      <c r="P59" s="5">
        <f>SUM(A28:P28)+SUM(A59:N59)</f>
        <v>299</v>
      </c>
      <c r="Q59" s="18"/>
    </row>
    <row r="60" spans="1:17" ht="16.5" thickBot="1" thickTop="1">
      <c r="A60" s="20"/>
      <c r="B60" s="27" t="s">
        <v>12</v>
      </c>
      <c r="C60" s="38">
        <f>C56/D59</f>
        <v>5368.359615384616</v>
      </c>
      <c r="D60" s="37"/>
      <c r="E60" s="38">
        <f>E56/F59</f>
        <v>3912.553846153846</v>
      </c>
      <c r="F60" s="37"/>
      <c r="G60" s="38">
        <f>G56/H59</f>
        <v>4055.028703703704</v>
      </c>
      <c r="H60" s="37"/>
      <c r="I60" s="38">
        <f>I56/J59</f>
        <v>7335.381730769231</v>
      </c>
      <c r="J60" s="37"/>
      <c r="K60" s="38">
        <f>K56/L59</f>
        <v>13119.252173913042</v>
      </c>
      <c r="L60" s="37"/>
      <c r="M60" s="38"/>
      <c r="N60" s="37"/>
      <c r="O60" s="38">
        <f>O56/P59</f>
        <v>5660.6531772575245</v>
      </c>
      <c r="P60" s="37"/>
      <c r="Q60" s="19"/>
    </row>
    <row r="61" spans="1:17" ht="16.5" thickBot="1" thickTop="1">
      <c r="A61" s="20"/>
      <c r="B61" s="2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"/>
      <c r="Q61" s="20"/>
    </row>
    <row r="62" spans="1:17" ht="16.5" thickBot="1" thickTop="1">
      <c r="A62" s="32"/>
      <c r="B62" s="27" t="s">
        <v>73</v>
      </c>
      <c r="C62" s="38">
        <v>4652</v>
      </c>
      <c r="D62" s="37"/>
      <c r="E62" s="38">
        <v>4210</v>
      </c>
      <c r="F62" s="37"/>
      <c r="G62" s="38">
        <v>4088</v>
      </c>
      <c r="H62" s="37"/>
      <c r="I62" s="38">
        <v>5772</v>
      </c>
      <c r="J62" s="37"/>
      <c r="K62" s="38">
        <v>13659</v>
      </c>
      <c r="L62" s="37"/>
      <c r="M62" s="38"/>
      <c r="N62" s="37"/>
      <c r="O62" s="38">
        <v>5443</v>
      </c>
      <c r="P62" s="37"/>
      <c r="Q62" s="56"/>
    </row>
    <row r="63" spans="1:17" ht="16.5" thickBot="1" thickTop="1">
      <c r="A63" s="32"/>
      <c r="B63" s="27" t="s">
        <v>70</v>
      </c>
      <c r="C63" s="38">
        <v>4974</v>
      </c>
      <c r="D63" s="37"/>
      <c r="E63" s="38">
        <v>4776</v>
      </c>
      <c r="F63" s="37"/>
      <c r="G63" s="38">
        <v>4080</v>
      </c>
      <c r="H63" s="37"/>
      <c r="I63" s="38">
        <v>5354</v>
      </c>
      <c r="J63" s="37"/>
      <c r="K63" s="38">
        <v>12961</v>
      </c>
      <c r="L63" s="37"/>
      <c r="M63" s="38"/>
      <c r="N63" s="37"/>
      <c r="O63" s="38">
        <v>5269</v>
      </c>
      <c r="P63" s="37"/>
      <c r="Q63" s="56"/>
    </row>
    <row r="64" spans="1:17" ht="15.75" thickTop="1">
      <c r="A64" s="32"/>
      <c r="B64" s="29"/>
      <c r="C64" s="37"/>
      <c r="D64" s="5"/>
      <c r="E64" s="37"/>
      <c r="F64" s="5"/>
      <c r="G64" s="37"/>
      <c r="H64" s="5"/>
      <c r="I64" s="37"/>
      <c r="J64" s="5"/>
      <c r="K64" s="37"/>
      <c r="L64" s="5"/>
      <c r="M64" s="37"/>
      <c r="N64" s="5"/>
      <c r="O64" s="37"/>
      <c r="P64" s="5"/>
      <c r="Q64" s="32"/>
    </row>
    <row r="65" spans="1:17" ht="15">
      <c r="A65" s="32"/>
      <c r="B65" s="26"/>
      <c r="C65" s="39"/>
      <c r="D65" s="32"/>
      <c r="E65" s="39"/>
      <c r="F65" s="32"/>
      <c r="G65" s="39"/>
      <c r="H65" s="32"/>
      <c r="I65" s="39"/>
      <c r="J65" s="39" t="s">
        <v>20</v>
      </c>
      <c r="K65" s="39"/>
      <c r="L65" s="32" t="s">
        <v>75</v>
      </c>
      <c r="M65" s="39" t="s">
        <v>21</v>
      </c>
      <c r="N65" s="32"/>
      <c r="O65" s="39">
        <v>1660210</v>
      </c>
      <c r="P65" s="32"/>
      <c r="Q65" s="32"/>
    </row>
    <row r="66" spans="1:17" ht="15">
      <c r="A66" s="32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71</v>
      </c>
      <c r="M66" s="39" t="s">
        <v>21</v>
      </c>
      <c r="N66" s="32"/>
      <c r="O66" s="39">
        <v>1601656</v>
      </c>
      <c r="P66" s="32"/>
      <c r="Q66" s="32"/>
    </row>
    <row r="67" spans="1:17" ht="15">
      <c r="A67" s="32"/>
      <c r="B67" s="26"/>
      <c r="C67" s="39"/>
      <c r="D67" s="32"/>
      <c r="E67" s="39"/>
      <c r="F67" s="32"/>
      <c r="G67" s="39"/>
      <c r="H67" s="32"/>
      <c r="I67" s="39"/>
      <c r="J67" s="32"/>
      <c r="K67" s="39"/>
      <c r="L67" s="32"/>
      <c r="M67" s="39"/>
      <c r="N67" s="32"/>
      <c r="O67" s="39"/>
      <c r="P67" s="32"/>
      <c r="Q67" s="32"/>
    </row>
    <row r="68" spans="1:17" ht="15">
      <c r="A68" s="20"/>
      <c r="B68" s="26"/>
      <c r="C68" s="39"/>
      <c r="D68" s="39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5">
      <c r="A69" s="20"/>
      <c r="B69" s="26"/>
      <c r="C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5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3:15" ht="15">
      <c r="C76" s="44"/>
      <c r="E76" s="44"/>
      <c r="G76" s="44"/>
      <c r="I76" s="44"/>
      <c r="K76" s="44"/>
      <c r="M76" s="44"/>
      <c r="O76" s="44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3" ht="15">
      <c r="C93" s="44"/>
      <c r="E93" s="45"/>
      <c r="G93" s="44"/>
      <c r="I93" s="44"/>
      <c r="K93" s="44"/>
      <c r="M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5"/>
      <c r="E104" s="45"/>
      <c r="G104" s="44"/>
      <c r="I104" s="44"/>
      <c r="K104" s="44"/>
      <c r="M104" s="44"/>
    </row>
    <row r="105" spans="3:13" ht="15">
      <c r="C105" s="44"/>
      <c r="E105" s="44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5" ht="15">
      <c r="C192" s="45"/>
      <c r="E192" s="45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A26">
      <selection activeCell="A26" sqref="A26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21484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5">
      <c r="A1" s="20"/>
      <c r="B1" s="26"/>
      <c r="C1" s="31"/>
      <c r="D1" s="32"/>
      <c r="E1" s="31"/>
      <c r="F1" s="51" t="s">
        <v>74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5.75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6.5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7" ht="15.75" thickTop="1">
      <c r="A4" s="20"/>
      <c r="B4" s="27" t="s">
        <v>31</v>
      </c>
      <c r="C4" s="33">
        <f>1.25*1987.6</f>
        <v>2484.5</v>
      </c>
      <c r="D4" s="34">
        <f aca="true" t="shared" si="0" ref="D4:D14">80*C4/C$26</f>
        <v>3.3183233017884484</v>
      </c>
      <c r="E4" s="33">
        <f>1.25*3205.22</f>
        <v>4006.5249999999996</v>
      </c>
      <c r="F4" s="34">
        <f aca="true" t="shared" si="1" ref="F4:F14">80*E4/E$26</f>
        <v>4.500352632132445</v>
      </c>
      <c r="G4" s="33">
        <f>1.25*3663.12</f>
        <v>4578.9</v>
      </c>
      <c r="H4" s="34">
        <f aca="true" t="shared" si="2" ref="H4:H14">80*G4/G$26</f>
        <v>4.629425550457695</v>
      </c>
      <c r="I4" s="33">
        <f>1.25*3624.88</f>
        <v>4531.1</v>
      </c>
      <c r="J4" s="34">
        <f aca="true" t="shared" si="3" ref="J4:J14">80*I4/I$26</f>
        <v>4.465805458392837</v>
      </c>
      <c r="K4" s="33">
        <f>1.25*5990.48</f>
        <v>7488.099999999999</v>
      </c>
      <c r="L4" s="34">
        <f aca="true" t="shared" si="4" ref="L4:L14">80*K4/K$26</f>
        <v>5.202907558254867</v>
      </c>
      <c r="M4" s="33">
        <f>1.25*5541.92</f>
        <v>6927.4</v>
      </c>
      <c r="N4" s="34">
        <f aca="true" t="shared" si="5" ref="N4:N14">80*M4/M$26</f>
        <v>4.503044270878194</v>
      </c>
      <c r="O4" s="33">
        <f>1.25*7209.2</f>
        <v>9011.5</v>
      </c>
      <c r="P4" s="34">
        <f aca="true" t="shared" si="6" ref="P4:P14">80*O4/O$26</f>
        <v>5.443211117040667</v>
      </c>
      <c r="Q4" s="18"/>
    </row>
    <row r="5" spans="1:17" ht="15">
      <c r="A5" s="20"/>
      <c r="B5" s="28" t="s">
        <v>32</v>
      </c>
      <c r="C5" s="35">
        <f>1.25*3493.28</f>
        <v>4366.6</v>
      </c>
      <c r="D5" s="36">
        <f t="shared" si="0"/>
        <v>5.832075077315129</v>
      </c>
      <c r="E5" s="35">
        <f>1.25*5068.64</f>
        <v>6335.8</v>
      </c>
      <c r="F5" s="36">
        <f t="shared" si="1"/>
        <v>7.116724394996849</v>
      </c>
      <c r="G5" s="35">
        <f>1.25*4257.6</f>
        <v>5322</v>
      </c>
      <c r="H5" s="36">
        <f t="shared" si="2"/>
        <v>5.3807252352171595</v>
      </c>
      <c r="I5" s="35">
        <f>1.25*3922.4</f>
        <v>4903</v>
      </c>
      <c r="J5" s="36">
        <f t="shared" si="3"/>
        <v>4.832346265255695</v>
      </c>
      <c r="K5" s="35">
        <f>1.25*5856.88</f>
        <v>7321.1</v>
      </c>
      <c r="L5" s="36">
        <f t="shared" si="4"/>
        <v>5.086872040269188</v>
      </c>
      <c r="M5" s="35">
        <f>1.25*6358</f>
        <v>7947.5</v>
      </c>
      <c r="N5" s="36">
        <f t="shared" si="5"/>
        <v>5.166143768629564</v>
      </c>
      <c r="O5" s="35">
        <f>1.25*6918</f>
        <v>8647.5</v>
      </c>
      <c r="P5" s="36">
        <f t="shared" si="6"/>
        <v>5.223344408212746</v>
      </c>
      <c r="Q5" s="18"/>
    </row>
    <row r="6" spans="1:17" ht="15">
      <c r="A6" s="20"/>
      <c r="B6" s="28" t="s">
        <v>33</v>
      </c>
      <c r="C6" s="35">
        <f>1.25*1988.64</f>
        <v>2485.8</v>
      </c>
      <c r="D6" s="36">
        <f t="shared" si="0"/>
        <v>3.320059594922811</v>
      </c>
      <c r="E6" s="35">
        <f>1.25*3762.16</f>
        <v>4702.7</v>
      </c>
      <c r="F6" s="36">
        <f t="shared" si="1"/>
        <v>5.282335271370889</v>
      </c>
      <c r="G6" s="35">
        <f>1.25*2046.48</f>
        <v>2558.1</v>
      </c>
      <c r="H6" s="36">
        <f t="shared" si="2"/>
        <v>2.58632717478561</v>
      </c>
      <c r="I6" s="35">
        <f>1.25*2776.8</f>
        <v>3471</v>
      </c>
      <c r="J6" s="36">
        <f t="shared" si="3"/>
        <v>3.4209818247404686</v>
      </c>
      <c r="K6" s="35">
        <f>1.25*3990.08</f>
        <v>4987.6</v>
      </c>
      <c r="L6" s="36">
        <f t="shared" si="4"/>
        <v>3.4655014940441466</v>
      </c>
      <c r="M6" s="35">
        <f>1.25*3202.4</f>
        <v>4003</v>
      </c>
      <c r="N6" s="36">
        <f t="shared" si="5"/>
        <v>2.6020853734915566</v>
      </c>
      <c r="O6" s="35">
        <f>1.25*4554.8</f>
        <v>5693.5</v>
      </c>
      <c r="P6" s="36">
        <f t="shared" si="6"/>
        <v>3.439041501955394</v>
      </c>
      <c r="Q6" s="18"/>
    </row>
    <row r="7" spans="1:17" ht="15">
      <c r="A7" s="20"/>
      <c r="B7" s="28" t="s">
        <v>34</v>
      </c>
      <c r="C7" s="35">
        <f>1.25*5094.4</f>
        <v>6368</v>
      </c>
      <c r="D7" s="36">
        <f t="shared" si="0"/>
        <v>8.505165138172202</v>
      </c>
      <c r="E7" s="35">
        <f>1.25*4215.84</f>
        <v>5269.8</v>
      </c>
      <c r="F7" s="36">
        <f t="shared" si="1"/>
        <v>5.919333662166482</v>
      </c>
      <c r="G7" s="35">
        <f>1.25*3089.6</f>
        <v>3862</v>
      </c>
      <c r="H7" s="36">
        <f t="shared" si="2"/>
        <v>3.904614967758112</v>
      </c>
      <c r="I7" s="35">
        <f>1.25*3520.24</f>
        <v>4400.299999999999</v>
      </c>
      <c r="J7" s="36">
        <f t="shared" si="3"/>
        <v>4.33689032653572</v>
      </c>
      <c r="K7" s="35">
        <f>1.25*4516.24</f>
        <v>5645.299999999999</v>
      </c>
      <c r="L7" s="36">
        <f t="shared" si="4"/>
        <v>3.9224868843386433</v>
      </c>
      <c r="M7" s="35">
        <f>1.25*3771.2</f>
        <v>4714</v>
      </c>
      <c r="N7" s="36">
        <f t="shared" si="5"/>
        <v>3.0642594180962273</v>
      </c>
      <c r="O7" s="35">
        <f>1.25*6248.8</f>
        <v>7811</v>
      </c>
      <c r="P7" s="36">
        <f t="shared" si="6"/>
        <v>4.71807379850243</v>
      </c>
      <c r="Q7" s="18"/>
    </row>
    <row r="8" spans="1:17" ht="15">
      <c r="A8" s="20"/>
      <c r="B8" s="28" t="s">
        <v>35</v>
      </c>
      <c r="C8" s="35">
        <f>1.25*12157.76</f>
        <v>15197.2</v>
      </c>
      <c r="D8" s="36">
        <f t="shared" si="0"/>
        <v>20.297533862724656</v>
      </c>
      <c r="E8" s="35">
        <f>1.25*7448.96</f>
        <v>9311.2</v>
      </c>
      <c r="F8" s="36">
        <f t="shared" si="1"/>
        <v>10.458859841960708</v>
      </c>
      <c r="G8" s="35">
        <f>1.25*9693.68</f>
        <v>12117.1</v>
      </c>
      <c r="H8" s="36">
        <f t="shared" si="2"/>
        <v>12.250805288923308</v>
      </c>
      <c r="I8" s="35">
        <f>1.25*8592.4</f>
        <v>10740.5</v>
      </c>
      <c r="J8" s="36">
        <f t="shared" si="3"/>
        <v>10.585726098710747</v>
      </c>
      <c r="K8" s="35">
        <f>1.25*6080.8</f>
        <v>7601</v>
      </c>
      <c r="L8" s="36">
        <f t="shared" si="4"/>
        <v>5.281353127000874</v>
      </c>
      <c r="M8" s="35">
        <f>1.25*11223.6</f>
        <v>14029.5</v>
      </c>
      <c r="N8" s="36">
        <f t="shared" si="5"/>
        <v>9.119649449762626</v>
      </c>
      <c r="O8" s="35">
        <f>1.25*9666.8</f>
        <v>12083.5</v>
      </c>
      <c r="P8" s="36">
        <f t="shared" si="6"/>
        <v>7.298789494841135</v>
      </c>
      <c r="Q8" s="18"/>
    </row>
    <row r="9" spans="1:17" ht="15">
      <c r="A9" s="20"/>
      <c r="B9" s="28" t="s">
        <v>51</v>
      </c>
      <c r="C9" s="35">
        <f>1.25*4991.2</f>
        <v>6239</v>
      </c>
      <c r="D9" s="36">
        <f t="shared" si="0"/>
        <v>8.332871434839255</v>
      </c>
      <c r="E9" s="35">
        <f>1.25*4240</f>
        <v>5300</v>
      </c>
      <c r="F9" s="36">
        <f t="shared" si="1"/>
        <v>5.953255988743852</v>
      </c>
      <c r="G9" s="35">
        <f>1.25*3876.4</f>
        <v>4845.5</v>
      </c>
      <c r="H9" s="36">
        <f t="shared" si="2"/>
        <v>4.898967329433436</v>
      </c>
      <c r="I9" s="35">
        <f>1.25*4858.4</f>
        <v>6073</v>
      </c>
      <c r="J9" s="36">
        <f t="shared" si="3"/>
        <v>5.9854862061794485</v>
      </c>
      <c r="K9" s="35">
        <f>1.25*3712</f>
        <v>4640</v>
      </c>
      <c r="L9" s="36">
        <f t="shared" si="4"/>
        <v>3.223980859003296</v>
      </c>
      <c r="M9" s="35">
        <f>1.25*9981.2</f>
        <v>12476.5</v>
      </c>
      <c r="N9" s="36">
        <f t="shared" si="5"/>
        <v>8.110146930394055</v>
      </c>
      <c r="O9" s="35">
        <f>1.25*3330.4</f>
        <v>4163</v>
      </c>
      <c r="P9" s="36">
        <f t="shared" si="6"/>
        <v>2.514574474864373</v>
      </c>
      <c r="Q9" s="18"/>
    </row>
    <row r="10" spans="1:17" ht="15">
      <c r="A10" s="20"/>
      <c r="B10" s="28" t="s">
        <v>37</v>
      </c>
      <c r="C10" s="35">
        <f>1.25*836</f>
        <v>1045</v>
      </c>
      <c r="D10" s="36">
        <f t="shared" si="0"/>
        <v>1.395712558007216</v>
      </c>
      <c r="E10" s="35">
        <f>1.25*2359.2</f>
        <v>2949</v>
      </c>
      <c r="F10" s="36">
        <f t="shared" si="1"/>
        <v>3.312481492604834</v>
      </c>
      <c r="G10" s="35">
        <f>1.25*5098</f>
        <v>6372.5</v>
      </c>
      <c r="H10" s="36">
        <f t="shared" si="2"/>
        <v>6.442816903686838</v>
      </c>
      <c r="I10" s="35">
        <f>1.25*10536</f>
        <v>13170</v>
      </c>
      <c r="J10" s="36">
        <f t="shared" si="3"/>
        <v>12.980216258090456</v>
      </c>
      <c r="K10" s="35">
        <f>1.25*28628</f>
        <v>35785</v>
      </c>
      <c r="L10" s="36">
        <f t="shared" si="4"/>
        <v>24.86425755160193</v>
      </c>
      <c r="M10" s="35">
        <f>1.25*33884</f>
        <v>42355</v>
      </c>
      <c r="N10" s="36">
        <f t="shared" si="5"/>
        <v>27.532182361787378</v>
      </c>
      <c r="O10" s="35">
        <f>1.25*47205.6</f>
        <v>59007</v>
      </c>
      <c r="P10" s="36">
        <f t="shared" si="6"/>
        <v>35.64196397749749</v>
      </c>
      <c r="Q10" s="18"/>
    </row>
    <row r="11" spans="1:17" ht="15">
      <c r="A11" s="20"/>
      <c r="B11" s="28" t="s">
        <v>38</v>
      </c>
      <c r="C11" s="35">
        <f>1.25*7878.32</f>
        <v>9847.9</v>
      </c>
      <c r="D11" s="36">
        <f t="shared" si="0"/>
        <v>13.1529547368414</v>
      </c>
      <c r="E11" s="35">
        <f>1.25*14109.47</f>
        <v>17636.837499999998</v>
      </c>
      <c r="F11" s="36">
        <f t="shared" si="1"/>
        <v>19.810680843278703</v>
      </c>
      <c r="G11" s="35">
        <f>1.25*16776.72</f>
        <v>20970.9</v>
      </c>
      <c r="H11" s="36">
        <f t="shared" si="2"/>
        <v>21.20230192318969</v>
      </c>
      <c r="I11" s="35">
        <f>1.25*16596.44</f>
        <v>20745.55</v>
      </c>
      <c r="J11" s="36">
        <f t="shared" si="3"/>
        <v>20.44660025763314</v>
      </c>
      <c r="K11" s="35">
        <f>1.25*26361.2</f>
        <v>32951.5</v>
      </c>
      <c r="L11" s="36">
        <f t="shared" si="4"/>
        <v>22.895475274880845</v>
      </c>
      <c r="M11" s="35">
        <f>1.25*18614.08</f>
        <v>23267.600000000002</v>
      </c>
      <c r="N11" s="36">
        <f t="shared" si="5"/>
        <v>15.1247268639151</v>
      </c>
      <c r="O11" s="35">
        <f>1.25*14132.56</f>
        <v>17665.7</v>
      </c>
      <c r="P11" s="36">
        <f t="shared" si="6"/>
        <v>10.670602522366455</v>
      </c>
      <c r="Q11" s="18"/>
    </row>
    <row r="12" spans="1:17" ht="15">
      <c r="A12" s="20"/>
      <c r="B12" s="28" t="s">
        <v>39</v>
      </c>
      <c r="C12" s="35">
        <f>1.25*3299.68-C13</f>
        <v>3026.4999999999995</v>
      </c>
      <c r="D12" s="36">
        <f t="shared" si="0"/>
        <v>4.0422239778075015</v>
      </c>
      <c r="E12" s="35">
        <f>1.25*3419.84-E13</f>
        <v>3468.6000000000004</v>
      </c>
      <c r="F12" s="36">
        <f t="shared" si="1"/>
        <v>3.896125230671118</v>
      </c>
      <c r="G12" s="35">
        <f>4654.8*1.25-G13</f>
        <v>5262.5</v>
      </c>
      <c r="H12" s="36">
        <f t="shared" si="2"/>
        <v>5.320568686646054</v>
      </c>
      <c r="I12" s="35">
        <f>4129.68*1.25-I13</f>
        <v>3911.1000000000004</v>
      </c>
      <c r="J12" s="36">
        <f t="shared" si="3"/>
        <v>3.8547398486725575</v>
      </c>
      <c r="K12" s="35">
        <f>3269.68*1.25-K13</f>
        <v>3670.1</v>
      </c>
      <c r="L12" s="36">
        <f t="shared" si="4"/>
        <v>2.5500715841870685</v>
      </c>
      <c r="M12" s="35">
        <f>3026.4*1.25-M13</f>
        <v>3366</v>
      </c>
      <c r="N12" s="36">
        <f t="shared" si="5"/>
        <v>2.18801383141958</v>
      </c>
      <c r="O12" s="35">
        <f>1.25*5378.8-O13</f>
        <v>6167.5</v>
      </c>
      <c r="P12" s="36">
        <f t="shared" si="6"/>
        <v>3.7253514469675757</v>
      </c>
      <c r="Q12" s="18"/>
    </row>
    <row r="13" spans="1:17" ht="15">
      <c r="A13" s="20"/>
      <c r="B13" s="28" t="s">
        <v>40</v>
      </c>
      <c r="C13" s="35">
        <f>1.25*878.48</f>
        <v>1098.1</v>
      </c>
      <c r="D13" s="36">
        <f t="shared" si="0"/>
        <v>1.4666334544954296</v>
      </c>
      <c r="E13" s="35">
        <f>1.25*644.96</f>
        <v>806.2</v>
      </c>
      <c r="F13" s="36">
        <f t="shared" si="1"/>
        <v>0.9055688637972252</v>
      </c>
      <c r="G13" s="35">
        <f>1.25*444.8</f>
        <v>556</v>
      </c>
      <c r="H13" s="36">
        <f t="shared" si="2"/>
        <v>0.562135142950158</v>
      </c>
      <c r="I13" s="35">
        <f>1.25*1000.8</f>
        <v>1251</v>
      </c>
      <c r="J13" s="36">
        <f t="shared" si="3"/>
        <v>1.2329727060646287</v>
      </c>
      <c r="K13" s="35">
        <f>1.25*333.6</f>
        <v>417</v>
      </c>
      <c r="L13" s="36">
        <f t="shared" si="4"/>
        <v>0.2897413832337014</v>
      </c>
      <c r="M13" s="35">
        <f>1.25*333.6</f>
        <v>417</v>
      </c>
      <c r="N13" s="36">
        <f t="shared" si="5"/>
        <v>0.27106410210991233</v>
      </c>
      <c r="O13" s="35">
        <f>1.25*444.8</f>
        <v>556</v>
      </c>
      <c r="P13" s="36">
        <f t="shared" si="6"/>
        <v>0.3358403574404495</v>
      </c>
      <c r="Q13" s="18"/>
    </row>
    <row r="14" spans="1:17" ht="15">
      <c r="A14" s="20"/>
      <c r="B14" s="28" t="s">
        <v>41</v>
      </c>
      <c r="C14" s="35">
        <f>1.25*2237.36</f>
        <v>2796.7000000000003</v>
      </c>
      <c r="D14" s="36">
        <f t="shared" si="0"/>
        <v>3.7353007760562504</v>
      </c>
      <c r="E14" s="35">
        <f>1.25*5486.56</f>
        <v>6858.200000000001</v>
      </c>
      <c r="F14" s="36">
        <f t="shared" si="1"/>
        <v>7.703513249434544</v>
      </c>
      <c r="G14" s="35">
        <f>1.25*7126.4</f>
        <v>8908</v>
      </c>
      <c r="H14" s="36">
        <f t="shared" si="2"/>
        <v>9.006294700359726</v>
      </c>
      <c r="I14" s="35">
        <f>1.25*5087.68</f>
        <v>6359.6</v>
      </c>
      <c r="J14" s="36">
        <f t="shared" si="3"/>
        <v>6.267956212221113</v>
      </c>
      <c r="K14" s="35">
        <f>1.25*2584.94</f>
        <v>3231.175</v>
      </c>
      <c r="L14" s="36">
        <f t="shared" si="4"/>
        <v>2.245096196571115</v>
      </c>
      <c r="M14" s="35">
        <f>1.25*6792.8</f>
        <v>8491</v>
      </c>
      <c r="N14" s="36">
        <f t="shared" si="5"/>
        <v>5.519437148717663</v>
      </c>
      <c r="O14" s="35">
        <f>1.25*5622.48</f>
        <v>7028.099999999999</v>
      </c>
      <c r="P14" s="36">
        <f t="shared" si="6"/>
        <v>4.245179165696444</v>
      </c>
      <c r="Q14" s="18"/>
    </row>
    <row r="15" spans="1:17" ht="15">
      <c r="A15" s="20"/>
      <c r="B15" s="28" t="s">
        <v>42</v>
      </c>
      <c r="C15" s="35">
        <f>1.25*3673.68</f>
        <v>4592.099999999999</v>
      </c>
      <c r="D15" s="36">
        <f>100*C15/C$26</f>
        <v>7.666568944527436</v>
      </c>
      <c r="E15" s="35">
        <f>1.25*4298.08</f>
        <v>5372.6</v>
      </c>
      <c r="F15" s="36">
        <f>100*E15/E$26</f>
        <v>7.543505454038967</v>
      </c>
      <c r="G15" s="35">
        <f>1.25*3264.8</f>
        <v>4081</v>
      </c>
      <c r="H15" s="36">
        <f>100*G15/G$26</f>
        <v>5.157539384846212</v>
      </c>
      <c r="I15" s="35">
        <f>1.25*3336.4</f>
        <v>4170.5</v>
      </c>
      <c r="J15" s="36">
        <f>100*I15/I$26</f>
        <v>5.1380022688274725</v>
      </c>
      <c r="K15" s="35">
        <f>1.25*4772.66</f>
        <v>5965.825</v>
      </c>
      <c r="L15" s="36">
        <f>100*K15/K$26</f>
        <v>5.181493967716417</v>
      </c>
      <c r="M15" s="35">
        <f>1.25*2926.24</f>
        <v>3657.7999999999997</v>
      </c>
      <c r="N15" s="36">
        <f>100*M15/M$26</f>
        <v>2.9721171243933973</v>
      </c>
      <c r="O15" s="35">
        <f>1.25*4089.12</f>
        <v>5111.4</v>
      </c>
      <c r="P15" s="36">
        <f>100*O15/O$26</f>
        <v>3.8592949708208484</v>
      </c>
      <c r="Q15" s="18"/>
    </row>
    <row r="16" spans="1:17" ht="15">
      <c r="A16" s="20"/>
      <c r="B16" s="28" t="s">
        <v>43</v>
      </c>
      <c r="C16" s="35">
        <f>1.25*2344</f>
        <v>2930</v>
      </c>
      <c r="D16" s="36">
        <f aca="true" t="shared" si="7" ref="D16:D24">80*C16/C$26</f>
        <v>3.91333760283363</v>
      </c>
      <c r="E16" s="35">
        <f>1.25*1210.4</f>
        <v>1513</v>
      </c>
      <c r="F16" s="36">
        <f aca="true" t="shared" si="8" ref="F16:F24">80*E16/E$26</f>
        <v>1.69948609640933</v>
      </c>
      <c r="G16" s="35">
        <f>1.25*2634.4</f>
        <v>3293</v>
      </c>
      <c r="H16" s="36">
        <f aca="true" t="shared" si="9" ref="H16:H24">80*G16/G$26</f>
        <v>3.3293363772209896</v>
      </c>
      <c r="I16" s="35">
        <f>1.25*2336.64</f>
        <v>2920.7999999999997</v>
      </c>
      <c r="J16" s="36">
        <f aca="true" t="shared" si="10" ref="J16:J24">80*I16/I$26</f>
        <v>2.878710375598375</v>
      </c>
      <c r="K16" s="35">
        <f>1.25*3908.4</f>
        <v>4885.5</v>
      </c>
      <c r="L16" s="36">
        <f aca="true" t="shared" si="11" ref="L16:L24">80*K16/K$26</f>
        <v>3.394560018676854</v>
      </c>
      <c r="M16" s="35">
        <f>1.25*3786.4</f>
        <v>4733</v>
      </c>
      <c r="N16" s="36">
        <f aca="true" t="shared" si="12" ref="N16:N24">80*M16/M$26</f>
        <v>3.0766100606384055</v>
      </c>
      <c r="O16" s="35">
        <f>1.25*1722.8</f>
        <v>2153.5</v>
      </c>
      <c r="P16" s="36">
        <f aca="true" t="shared" si="13" ref="P16:P24">80*O16/O$26</f>
        <v>1.300777355661885</v>
      </c>
      <c r="Q16" s="18"/>
    </row>
    <row r="17" spans="1:17" ht="15">
      <c r="A17" s="20"/>
      <c r="B17" s="28" t="s">
        <v>44</v>
      </c>
      <c r="C17" s="35">
        <f>1.25*2782.72</f>
        <v>3478.3999999999996</v>
      </c>
      <c r="D17" s="36">
        <f t="shared" si="7"/>
        <v>4.645786183514163</v>
      </c>
      <c r="E17" s="35">
        <f>1.25*3723.44</f>
        <v>4654.3</v>
      </c>
      <c r="F17" s="36">
        <f t="shared" si="8"/>
        <v>5.227969688379342</v>
      </c>
      <c r="G17" s="35">
        <f>1.25*4328</f>
        <v>5410</v>
      </c>
      <c r="H17" s="36">
        <f t="shared" si="9"/>
        <v>5.469696265036609</v>
      </c>
      <c r="I17" s="35">
        <f>1.25*3503.6</f>
        <v>4379.5</v>
      </c>
      <c r="J17" s="36">
        <f t="shared" si="10"/>
        <v>4.316390060919297</v>
      </c>
      <c r="K17" s="35">
        <f>1.25*4675.2</f>
        <v>5844</v>
      </c>
      <c r="L17" s="36">
        <f t="shared" si="11"/>
        <v>4.060548306037772</v>
      </c>
      <c r="M17" s="35">
        <f>1.25*3099.2</f>
        <v>3874</v>
      </c>
      <c r="N17" s="36">
        <f t="shared" si="12"/>
        <v>2.5182310109683463</v>
      </c>
      <c r="O17" s="35">
        <f>1.25*2581.2</f>
        <v>3226.5</v>
      </c>
      <c r="P17" s="36">
        <f t="shared" si="13"/>
        <v>1.9489009231683638</v>
      </c>
      <c r="Q17" s="18"/>
    </row>
    <row r="18" spans="1:17" ht="15">
      <c r="A18" s="20"/>
      <c r="B18" s="28" t="s">
        <v>45</v>
      </c>
      <c r="C18" s="35">
        <f>1.25*1859.52</f>
        <v>2324.4</v>
      </c>
      <c r="D18" s="36">
        <f t="shared" si="7"/>
        <v>3.1044921242411228</v>
      </c>
      <c r="E18" s="35">
        <f>1.25*2242.96</f>
        <v>2803.7</v>
      </c>
      <c r="F18" s="36">
        <f t="shared" si="8"/>
        <v>3.1492724180454976</v>
      </c>
      <c r="G18" s="35">
        <f>1.25*1571.2</f>
        <v>1964</v>
      </c>
      <c r="H18" s="36">
        <f t="shared" si="9"/>
        <v>1.9856716200613496</v>
      </c>
      <c r="I18" s="35">
        <f>1.25*1582.4</f>
        <v>1978</v>
      </c>
      <c r="J18" s="36">
        <f t="shared" si="10"/>
        <v>1.9494964129463115</v>
      </c>
      <c r="K18" s="35">
        <f>1.25*1181.68</f>
        <v>1477.1000000000001</v>
      </c>
      <c r="L18" s="36">
        <f t="shared" si="11"/>
        <v>1.0263237342314158</v>
      </c>
      <c r="M18" s="35">
        <f>1.25*1655.84</f>
        <v>2069.7999999999997</v>
      </c>
      <c r="N18" s="36">
        <f t="shared" si="12"/>
        <v>1.3454399965158188</v>
      </c>
      <c r="O18" s="35">
        <f>1.25*2016</f>
        <v>2520</v>
      </c>
      <c r="P18" s="36">
        <f t="shared" si="13"/>
        <v>1.5221541380394472</v>
      </c>
      <c r="Q18" s="18"/>
    </row>
    <row r="19" spans="1:17" ht="15">
      <c r="A19" s="20"/>
      <c r="B19" s="28" t="s">
        <v>46</v>
      </c>
      <c r="C19" s="35">
        <f>1.25*1517.28</f>
        <v>1896.6</v>
      </c>
      <c r="D19" s="36">
        <f t="shared" si="7"/>
        <v>2.5331181220253454</v>
      </c>
      <c r="E19" s="35">
        <f>1.25*2693.76</f>
        <v>3367.2000000000003</v>
      </c>
      <c r="F19" s="36">
        <f t="shared" si="8"/>
        <v>3.782227087792132</v>
      </c>
      <c r="G19" s="35">
        <f>1.25*1967.36</f>
        <v>2459.2</v>
      </c>
      <c r="H19" s="36">
        <f t="shared" si="9"/>
        <v>2.486335869681706</v>
      </c>
      <c r="I19" s="35">
        <f>1.25*1461.28</f>
        <v>1826.6</v>
      </c>
      <c r="J19" s="36">
        <f t="shared" si="10"/>
        <v>1.8002781334113915</v>
      </c>
      <c r="K19" s="35">
        <f>1.25*2423.2</f>
        <v>3029</v>
      </c>
      <c r="L19" s="36">
        <f t="shared" si="11"/>
        <v>2.1046202633450397</v>
      </c>
      <c r="M19" s="35">
        <f>1.25*2832.72</f>
        <v>3540.8999999999996</v>
      </c>
      <c r="N19" s="36">
        <f t="shared" si="12"/>
        <v>2.301704746189421</v>
      </c>
      <c r="O19" s="35">
        <f>1.25*2634.56</f>
        <v>3293.2</v>
      </c>
      <c r="P19" s="36">
        <f t="shared" si="13"/>
        <v>1.9891896854728206</v>
      </c>
      <c r="Q19" s="18"/>
    </row>
    <row r="20" spans="1:17" ht="15">
      <c r="A20" s="20"/>
      <c r="B20" s="28" t="s">
        <v>47</v>
      </c>
      <c r="C20" s="35">
        <f>1.25*461.68</f>
        <v>577.1</v>
      </c>
      <c r="D20" s="36">
        <f t="shared" si="7"/>
        <v>0.7707805906468559</v>
      </c>
      <c r="E20" s="35">
        <f>1.25*32</f>
        <v>40</v>
      </c>
      <c r="F20" s="36">
        <f t="shared" si="8"/>
        <v>0.04493023387731209</v>
      </c>
      <c r="G20" s="35">
        <f>1.25*769.6</f>
        <v>962</v>
      </c>
      <c r="H20" s="36">
        <f t="shared" si="9"/>
        <v>0.9726151214353453</v>
      </c>
      <c r="I20" s="35">
        <f>1.25*540</f>
        <v>675</v>
      </c>
      <c r="J20" s="36">
        <f t="shared" si="10"/>
        <v>0.665273042840627</v>
      </c>
      <c r="K20" s="35">
        <f>1.25*92</f>
        <v>115</v>
      </c>
      <c r="L20" s="36">
        <f t="shared" si="11"/>
        <v>0.07990469801409031</v>
      </c>
      <c r="M20" s="35">
        <f>1.25*459.2</f>
        <v>574</v>
      </c>
      <c r="N20" s="36">
        <f t="shared" si="12"/>
        <v>0.3731194115373853</v>
      </c>
      <c r="O20" s="35">
        <f>1.25*123.2</f>
        <v>154</v>
      </c>
      <c r="P20" s="36">
        <f t="shared" si="13"/>
        <v>0.09302053065796623</v>
      </c>
      <c r="Q20" s="18"/>
    </row>
    <row r="21" spans="1:17" ht="15">
      <c r="A21" s="20"/>
      <c r="B21" s="28" t="s">
        <v>48</v>
      </c>
      <c r="C21" s="35">
        <v>60</v>
      </c>
      <c r="D21" s="36">
        <f t="shared" si="7"/>
        <v>0.08013660620137127</v>
      </c>
      <c r="E21" s="35">
        <v>60</v>
      </c>
      <c r="F21" s="36">
        <f t="shared" si="8"/>
        <v>0.06739535081596813</v>
      </c>
      <c r="G21" s="35">
        <v>0</v>
      </c>
      <c r="H21" s="36">
        <f t="shared" si="9"/>
        <v>0</v>
      </c>
      <c r="I21" s="35">
        <v>0</v>
      </c>
      <c r="J21" s="36">
        <f t="shared" si="10"/>
        <v>0</v>
      </c>
      <c r="K21" s="35">
        <v>260</v>
      </c>
      <c r="L21" s="36">
        <f t="shared" si="11"/>
        <v>0.1806540998579433</v>
      </c>
      <c r="M21" s="35">
        <v>85</v>
      </c>
      <c r="N21" s="36">
        <f t="shared" si="12"/>
        <v>0.055252874530797476</v>
      </c>
      <c r="O21" s="35">
        <v>85</v>
      </c>
      <c r="P21" s="36">
        <f t="shared" si="13"/>
        <v>0.0513425006878385</v>
      </c>
      <c r="Q21" s="18"/>
    </row>
    <row r="22" spans="1:17" ht="15">
      <c r="A22" s="20"/>
      <c r="B22" s="28" t="s">
        <v>60</v>
      </c>
      <c r="C22" s="35">
        <f>1.25*2449.6</f>
        <v>3062</v>
      </c>
      <c r="D22" s="36">
        <f t="shared" si="7"/>
        <v>4.089638136476647</v>
      </c>
      <c r="E22" s="35">
        <f>1.25*2448.2</f>
        <v>3060.25</v>
      </c>
      <c r="F22" s="36">
        <f t="shared" si="8"/>
        <v>3.4374437055761082</v>
      </c>
      <c r="G22" s="35">
        <f>1.25*3176.8</f>
        <v>3971</v>
      </c>
      <c r="H22" s="36">
        <f t="shared" si="9"/>
        <v>4.014817720602657</v>
      </c>
      <c r="I22" s="35">
        <f>1.25*2120.88</f>
        <v>2651.1000000000004</v>
      </c>
      <c r="J22" s="36">
        <f t="shared" si="10"/>
        <v>2.612896835370054</v>
      </c>
      <c r="K22" s="35">
        <f>1.25*3839.68</f>
        <v>4799.599999999999</v>
      </c>
      <c r="L22" s="36">
        <f t="shared" si="11"/>
        <v>3.3348746833776333</v>
      </c>
      <c r="M22" s="35">
        <f>1.25*2128.64</f>
        <v>2660.7999999999997</v>
      </c>
      <c r="N22" s="36">
        <f t="shared" si="12"/>
        <v>1.7296099829593636</v>
      </c>
      <c r="O22" s="35">
        <f>1.25*4013.28</f>
        <v>5016.6</v>
      </c>
      <c r="P22" s="36">
        <f t="shared" si="13"/>
        <v>3.0301739876542424</v>
      </c>
      <c r="Q22" s="18"/>
    </row>
    <row r="23" spans="1:17" ht="15">
      <c r="A23" s="20"/>
      <c r="B23" s="28" t="s">
        <v>49</v>
      </c>
      <c r="C23" s="35">
        <f>1.25*(727.2)</f>
        <v>909</v>
      </c>
      <c r="D23" s="36">
        <f t="shared" si="7"/>
        <v>1.2140695839507747</v>
      </c>
      <c r="E23" s="35">
        <f>1.25*1111.2</f>
        <v>1389</v>
      </c>
      <c r="F23" s="36">
        <f t="shared" si="8"/>
        <v>1.5602023713896624</v>
      </c>
      <c r="G23" s="35">
        <f>1.25*1047.52</f>
        <v>1309.4</v>
      </c>
      <c r="H23" s="36">
        <f t="shared" si="9"/>
        <v>1.3238484823362173</v>
      </c>
      <c r="I23" s="35">
        <f>1.25*2517.84</f>
        <v>3147.3</v>
      </c>
      <c r="J23" s="36">
        <f t="shared" si="10"/>
        <v>3.101946441084897</v>
      </c>
      <c r="K23" s="35">
        <f>1.25*2831.92</f>
        <v>3539.9</v>
      </c>
      <c r="L23" s="36">
        <f t="shared" si="11"/>
        <v>2.4596055695658983</v>
      </c>
      <c r="M23" s="35">
        <f>1.25*3591.68</f>
        <v>4489.599999999999</v>
      </c>
      <c r="N23" s="36">
        <f t="shared" si="12"/>
        <v>2.9183918293349214</v>
      </c>
      <c r="O23" s="35">
        <f>1.25*4803.28</f>
        <v>6004.099999999999</v>
      </c>
      <c r="P23" s="36">
        <f t="shared" si="13"/>
        <v>3.626653039762954</v>
      </c>
      <c r="Q23" s="18"/>
    </row>
    <row r="24" spans="1:17" ht="15.75" thickBot="1">
      <c r="A24" s="20"/>
      <c r="B24" s="28" t="s">
        <v>50</v>
      </c>
      <c r="C24" s="35">
        <f>1.25*57.8</f>
        <v>72.25</v>
      </c>
      <c r="D24" s="36">
        <f t="shared" si="7"/>
        <v>0.09649782996748456</v>
      </c>
      <c r="E24" s="35">
        <f>1.25*85.6</f>
        <v>107</v>
      </c>
      <c r="F24" s="36">
        <f t="shared" si="8"/>
        <v>0.12018837562180984</v>
      </c>
      <c r="G24" s="35">
        <f>1.25*84.4</f>
        <v>105.5</v>
      </c>
      <c r="H24" s="36">
        <f t="shared" si="9"/>
        <v>0.10666413234036272</v>
      </c>
      <c r="I24" s="35">
        <f>1.25*125.72</f>
        <v>157.15</v>
      </c>
      <c r="J24" s="36">
        <f t="shared" si="10"/>
        <v>0.15488542027022895</v>
      </c>
      <c r="K24" s="35">
        <f>1.25*162.12</f>
        <v>202.65</v>
      </c>
      <c r="L24" s="36">
        <f t="shared" si="11"/>
        <v>0.14080597437004697</v>
      </c>
      <c r="M24" s="35">
        <f>1.25*110</f>
        <v>137.5</v>
      </c>
      <c r="N24" s="36">
        <f t="shared" si="12"/>
        <v>0.08937964997629004</v>
      </c>
      <c r="O24" s="35">
        <f>1.25*108</f>
        <v>135</v>
      </c>
      <c r="P24" s="36">
        <f t="shared" si="13"/>
        <v>0.08154397168068468</v>
      </c>
      <c r="Q24" s="18"/>
    </row>
    <row r="25" spans="1:17" ht="16.5" thickBot="1" thickTop="1">
      <c r="A25" s="20"/>
      <c r="B25" s="27" t="s">
        <v>9</v>
      </c>
      <c r="C25" s="33">
        <f>SUM(C4:C24)</f>
        <v>74857.15000000001</v>
      </c>
      <c r="D25" s="34"/>
      <c r="E25" s="33">
        <f>SUM(E4:E24)</f>
        <v>89011.9125</v>
      </c>
      <c r="F25" s="34"/>
      <c r="G25" s="33">
        <f>SUM(G4:G24)</f>
        <v>98908.59999999999</v>
      </c>
      <c r="H25" s="34"/>
      <c r="I25" s="33">
        <f>SUM(I4:I24)</f>
        <v>101462.10000000002</v>
      </c>
      <c r="J25" s="34"/>
      <c r="K25" s="33">
        <f>SUM(K4:K24)</f>
        <v>143856.45</v>
      </c>
      <c r="L25" s="34"/>
      <c r="M25" s="33">
        <f>SUM(M4:M24)</f>
        <v>153816.89999999997</v>
      </c>
      <c r="N25" s="34"/>
      <c r="O25" s="33">
        <f>SUM(O4:O24)</f>
        <v>165533.6</v>
      </c>
      <c r="P25" s="34"/>
      <c r="Q25" s="18"/>
    </row>
    <row r="26" spans="1:17" ht="16.5" thickBot="1" thickTop="1">
      <c r="A26" s="20"/>
      <c r="B26" s="27" t="s">
        <v>10</v>
      </c>
      <c r="C26" s="33">
        <f>C25*0.8+C21*0.2</f>
        <v>59897.72000000001</v>
      </c>
      <c r="D26" s="34"/>
      <c r="E26" s="33">
        <f>E25*0.8+E21*0.2</f>
        <v>71221.53000000001</v>
      </c>
      <c r="F26" s="34"/>
      <c r="G26" s="33">
        <f>G25*0.8+G21*0.2</f>
        <v>79126.88</v>
      </c>
      <c r="H26" s="34"/>
      <c r="I26" s="33">
        <f>I25*0.8+I21*0.2</f>
        <v>81169.68000000002</v>
      </c>
      <c r="J26" s="34"/>
      <c r="K26" s="33">
        <f>K25*0.8+K21*0.2</f>
        <v>115137.16000000002</v>
      </c>
      <c r="L26" s="34"/>
      <c r="M26" s="33">
        <f>M25*0.8+M21*0.2</f>
        <v>123070.51999999997</v>
      </c>
      <c r="N26" s="34"/>
      <c r="O26" s="33">
        <f>O25*0.8+O21*0.2</f>
        <v>132443.88</v>
      </c>
      <c r="P26" s="34"/>
      <c r="Q26" s="18"/>
    </row>
    <row r="27" spans="1:17" ht="16.5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6.5" thickBot="1" thickTop="1">
      <c r="A28" s="32"/>
      <c r="B28" s="27" t="s">
        <v>11</v>
      </c>
      <c r="C28" s="38"/>
      <c r="D28" s="5">
        <v>26</v>
      </c>
      <c r="E28" s="38"/>
      <c r="F28" s="5">
        <v>24</v>
      </c>
      <c r="G28" s="38"/>
      <c r="H28" s="5">
        <v>26</v>
      </c>
      <c r="I28" s="38"/>
      <c r="J28" s="5">
        <v>23</v>
      </c>
      <c r="K28" s="38"/>
      <c r="L28" s="5">
        <v>25</v>
      </c>
      <c r="M28" s="38"/>
      <c r="N28" s="5">
        <v>24</v>
      </c>
      <c r="O28" s="38"/>
      <c r="P28" s="5">
        <v>27</v>
      </c>
      <c r="Q28" s="57"/>
    </row>
    <row r="29" spans="1:17" ht="16.5" thickBot="1" thickTop="1">
      <c r="A29" s="20"/>
      <c r="B29" s="27" t="s">
        <v>12</v>
      </c>
      <c r="C29" s="38">
        <f>C25/D28</f>
        <v>2879.1211538461544</v>
      </c>
      <c r="D29" s="37"/>
      <c r="E29" s="38">
        <f>E25/F28</f>
        <v>3708.8296875</v>
      </c>
      <c r="F29" s="37"/>
      <c r="G29" s="38">
        <f>G25/H28</f>
        <v>3804.176923076923</v>
      </c>
      <c r="H29" s="37"/>
      <c r="I29" s="38">
        <f>I25/J28</f>
        <v>4411.395652173914</v>
      </c>
      <c r="J29" s="37"/>
      <c r="K29" s="38">
        <f>K25/L28</f>
        <v>5754.258000000001</v>
      </c>
      <c r="L29" s="37"/>
      <c r="M29" s="38">
        <f>M25/N28</f>
        <v>6409.0374999999985</v>
      </c>
      <c r="N29" s="37"/>
      <c r="O29" s="38">
        <f>O25/P28</f>
        <v>6130.874074074074</v>
      </c>
      <c r="P29" s="37"/>
      <c r="Q29" s="19"/>
    </row>
    <row r="30" spans="1:17" ht="16.5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6.5" thickBot="1" thickTop="1">
      <c r="A31" s="32"/>
      <c r="B31" s="27" t="s">
        <v>70</v>
      </c>
      <c r="C31" s="38">
        <v>2559</v>
      </c>
      <c r="D31" s="37"/>
      <c r="E31" s="38">
        <v>3168</v>
      </c>
      <c r="F31" s="37"/>
      <c r="G31" s="38">
        <v>3391</v>
      </c>
      <c r="H31" s="37"/>
      <c r="I31" s="38">
        <v>4387</v>
      </c>
      <c r="J31" s="37"/>
      <c r="K31" s="38">
        <v>5207</v>
      </c>
      <c r="L31" s="37"/>
      <c r="M31" s="38">
        <v>6075</v>
      </c>
      <c r="N31" s="37"/>
      <c r="O31" s="38">
        <v>6320</v>
      </c>
      <c r="P31" s="37"/>
      <c r="Q31" s="56"/>
    </row>
    <row r="32" spans="1:17" ht="16.5" thickBot="1" thickTop="1">
      <c r="A32" s="32"/>
      <c r="B32" s="52" t="s">
        <v>68</v>
      </c>
      <c r="C32" s="53">
        <v>2767</v>
      </c>
      <c r="D32" s="54"/>
      <c r="E32" s="53">
        <v>2808</v>
      </c>
      <c r="F32" s="54"/>
      <c r="G32" s="53">
        <v>3304</v>
      </c>
      <c r="H32" s="54"/>
      <c r="I32" s="53">
        <v>4035</v>
      </c>
      <c r="J32" s="54"/>
      <c r="K32" s="53">
        <v>4671</v>
      </c>
      <c r="L32" s="54"/>
      <c r="M32" s="53">
        <v>5175</v>
      </c>
      <c r="N32" s="54"/>
      <c r="O32" s="53">
        <v>4689</v>
      </c>
      <c r="P32" s="55"/>
      <c r="Q32" s="56"/>
    </row>
    <row r="33" spans="1:17" ht="16.5" thickBot="1" thickTop="1">
      <c r="A33" s="20"/>
      <c r="B33" s="26"/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9"/>
      <c r="P33" s="32"/>
      <c r="Q33" s="20"/>
    </row>
    <row r="34" spans="1:17" ht="16.5" thickBot="1" thickTop="1">
      <c r="A34" s="20"/>
      <c r="B34" s="27" t="s">
        <v>0</v>
      </c>
      <c r="C34" s="49" t="s">
        <v>13</v>
      </c>
      <c r="D34" s="47" t="s">
        <v>2</v>
      </c>
      <c r="E34" s="49" t="s">
        <v>14</v>
      </c>
      <c r="F34" s="47" t="s">
        <v>2</v>
      </c>
      <c r="G34" s="49" t="s">
        <v>15</v>
      </c>
      <c r="H34" s="47" t="s">
        <v>2</v>
      </c>
      <c r="I34" s="49" t="s">
        <v>16</v>
      </c>
      <c r="J34" s="47" t="s">
        <v>2</v>
      </c>
      <c r="K34" s="49" t="s">
        <v>17</v>
      </c>
      <c r="L34" s="47" t="s">
        <v>2</v>
      </c>
      <c r="M34" s="49" t="s">
        <v>18</v>
      </c>
      <c r="N34" s="48"/>
      <c r="O34" s="50" t="s">
        <v>19</v>
      </c>
      <c r="P34" s="47" t="s">
        <v>2</v>
      </c>
      <c r="Q34" s="18"/>
    </row>
    <row r="35" spans="1:17" ht="15.75" thickTop="1">
      <c r="A35" s="20"/>
      <c r="B35" s="27" t="s">
        <v>31</v>
      </c>
      <c r="C35" s="33">
        <f>1.25*5884.64</f>
        <v>7355.8</v>
      </c>
      <c r="D35" s="34">
        <f aca="true" t="shared" si="14" ref="D35:D45">80*C35/C$57</f>
        <v>5.851438935480085</v>
      </c>
      <c r="E35" s="33">
        <f>1.25*4975.27</f>
        <v>6219.087500000001</v>
      </c>
      <c r="F35" s="34">
        <f aca="true" t="shared" si="15" ref="F35:F45">80*E35/E$57</f>
        <v>5.90814549517963</v>
      </c>
      <c r="G35" s="33">
        <f>1.25*7062.8</f>
        <v>8828.5</v>
      </c>
      <c r="H35" s="34">
        <f aca="true" t="shared" si="16" ref="H35:H45">80*G35/G$57</f>
        <v>7.997990650363877</v>
      </c>
      <c r="I35" s="33">
        <f>1.25*5350.64</f>
        <v>6688.3</v>
      </c>
      <c r="J35" s="34">
        <f aca="true" t="shared" si="17" ref="J35:J45">80*I35/I$57</f>
        <v>4.456801681887393</v>
      </c>
      <c r="K35" s="33">
        <f>1.25*13594</f>
        <v>16992.5</v>
      </c>
      <c r="L35" s="34">
        <f aca="true" t="shared" si="18" ref="L35:L45">80*K35/K$57</f>
        <v>4.974414006052875</v>
      </c>
      <c r="M35" s="33"/>
      <c r="N35" s="40"/>
      <c r="O35" s="38">
        <f aca="true" t="shared" si="19" ref="O35:O55">C4+E4+G4+I4+K4+M4+O4+C35+E35+G35+I35+K35+M35</f>
        <v>85112.21250000001</v>
      </c>
      <c r="P35" s="34">
        <f aca="true" t="shared" si="20" ref="P35:P45">O35*80/$O$57</f>
        <v>5.1253647835831675</v>
      </c>
      <c r="Q35" s="18"/>
    </row>
    <row r="36" spans="1:17" ht="15">
      <c r="A36" s="20"/>
      <c r="B36" s="28" t="s">
        <v>32</v>
      </c>
      <c r="C36" s="35">
        <f>1.25*4952.08</f>
        <v>6190.1</v>
      </c>
      <c r="D36" s="36">
        <f t="shared" si="14"/>
        <v>4.924140427215976</v>
      </c>
      <c r="E36" s="35">
        <f>1.25*4020.1</f>
        <v>5025.125</v>
      </c>
      <c r="F36" s="36">
        <f t="shared" si="15"/>
        <v>4.773878745308622</v>
      </c>
      <c r="G36" s="35">
        <f>1.25*3344</f>
        <v>4180</v>
      </c>
      <c r="H36" s="36">
        <f t="shared" si="16"/>
        <v>3.78678155049227</v>
      </c>
      <c r="I36" s="35">
        <f>1.25*5546.08</f>
        <v>6932.6</v>
      </c>
      <c r="J36" s="36">
        <f t="shared" si="17"/>
        <v>4.6195929219461656</v>
      </c>
      <c r="K36" s="35">
        <f>1.25*12384.6</f>
        <v>15480.75</v>
      </c>
      <c r="L36" s="36">
        <f t="shared" si="18"/>
        <v>4.531861681577346</v>
      </c>
      <c r="M36" s="35"/>
      <c r="N36" s="41"/>
      <c r="O36" s="42">
        <f t="shared" si="19"/>
        <v>82652.075</v>
      </c>
      <c r="P36" s="36">
        <f t="shared" si="20"/>
        <v>4.977217981439205</v>
      </c>
      <c r="Q36" s="18"/>
    </row>
    <row r="37" spans="1:17" ht="15">
      <c r="A37" s="20"/>
      <c r="B37" s="28" t="s">
        <v>33</v>
      </c>
      <c r="C37" s="35">
        <f>1.25*4666.08</f>
        <v>5832.6</v>
      </c>
      <c r="D37" s="36">
        <f t="shared" si="14"/>
        <v>4.639754035601994</v>
      </c>
      <c r="E37" s="35">
        <f>1.25*3893.6</f>
        <v>4867</v>
      </c>
      <c r="F37" s="36">
        <f t="shared" si="15"/>
        <v>4.623659680787456</v>
      </c>
      <c r="G37" s="35">
        <f>1.25*3450.4</f>
        <v>4313</v>
      </c>
      <c r="H37" s="36">
        <f t="shared" si="16"/>
        <v>3.9072700543715695</v>
      </c>
      <c r="I37" s="35">
        <f>1.25*3309.28</f>
        <v>4136.6</v>
      </c>
      <c r="J37" s="36">
        <f t="shared" si="17"/>
        <v>2.756456175305442</v>
      </c>
      <c r="K37" s="35">
        <f>1.25*9341.88</f>
        <v>11677.349999999999</v>
      </c>
      <c r="L37" s="36">
        <f t="shared" si="18"/>
        <v>3.4184477501004285</v>
      </c>
      <c r="M37" s="35"/>
      <c r="N37" s="41"/>
      <c r="O37" s="42">
        <f t="shared" si="19"/>
        <v>58728.25</v>
      </c>
      <c r="P37" s="36">
        <f t="shared" si="20"/>
        <v>3.5365512834185586</v>
      </c>
      <c r="Q37" s="18"/>
    </row>
    <row r="38" spans="1:17" ht="15">
      <c r="A38" s="20"/>
      <c r="B38" s="28" t="s">
        <v>34</v>
      </c>
      <c r="C38" s="35">
        <f>1.25*4482.64</f>
        <v>5603.3</v>
      </c>
      <c r="D38" s="36">
        <f t="shared" si="14"/>
        <v>4.4573490017639905</v>
      </c>
      <c r="E38" s="35">
        <f>1.25*7789.59</f>
        <v>9736.9875</v>
      </c>
      <c r="F38" s="36">
        <f t="shared" si="15"/>
        <v>9.250157492517248</v>
      </c>
      <c r="G38" s="35">
        <f>1.25*10539.12</f>
        <v>13173.900000000001</v>
      </c>
      <c r="H38" s="36">
        <f t="shared" si="16"/>
        <v>11.934612791394764</v>
      </c>
      <c r="I38" s="35">
        <f>1.25*8936.96</f>
        <v>11171.199999999999</v>
      </c>
      <c r="J38" s="36">
        <f t="shared" si="17"/>
        <v>7.444017605176269</v>
      </c>
      <c r="K38" s="35">
        <f>1.25*19988.64</f>
        <v>24985.8</v>
      </c>
      <c r="L38" s="36">
        <f t="shared" si="18"/>
        <v>7.314386551268849</v>
      </c>
      <c r="M38" s="35"/>
      <c r="N38" s="41"/>
      <c r="O38" s="42">
        <f t="shared" si="19"/>
        <v>102741.5875</v>
      </c>
      <c r="P38" s="36">
        <f t="shared" si="20"/>
        <v>6.186986554742993</v>
      </c>
      <c r="Q38" s="18"/>
    </row>
    <row r="39" spans="1:17" ht="15">
      <c r="A39" s="20"/>
      <c r="B39" s="28" t="s">
        <v>35</v>
      </c>
      <c r="C39" s="35">
        <f>1.25*12593.76</f>
        <v>15742.2</v>
      </c>
      <c r="D39" s="36">
        <f t="shared" si="14"/>
        <v>12.52270616521855</v>
      </c>
      <c r="E39" s="35">
        <f>1.25*9394.4</f>
        <v>11743</v>
      </c>
      <c r="F39" s="36">
        <f t="shared" si="15"/>
        <v>11.15587335760984</v>
      </c>
      <c r="G39" s="35">
        <f>1.25*8972.4</f>
        <v>11215.5</v>
      </c>
      <c r="H39" s="36">
        <f t="shared" si="16"/>
        <v>10.160442219987095</v>
      </c>
      <c r="I39" s="35">
        <f>1.25*15303.6</f>
        <v>19129.5</v>
      </c>
      <c r="J39" s="36">
        <f t="shared" si="17"/>
        <v>12.747093846517783</v>
      </c>
      <c r="K39" s="35">
        <f>1.25*18556.56</f>
        <v>23195.7</v>
      </c>
      <c r="L39" s="36">
        <f t="shared" si="18"/>
        <v>6.790349563642823</v>
      </c>
      <c r="M39" s="35"/>
      <c r="N39" s="41"/>
      <c r="O39" s="42">
        <f t="shared" si="19"/>
        <v>162105.90000000002</v>
      </c>
      <c r="P39" s="36">
        <f t="shared" si="20"/>
        <v>9.761840829493822</v>
      </c>
      <c r="Q39" s="18"/>
    </row>
    <row r="40" spans="1:17" ht="15">
      <c r="A40" s="20"/>
      <c r="B40" s="28" t="s">
        <v>51</v>
      </c>
      <c r="C40" s="35">
        <f>1.25*6023.2</f>
        <v>7529</v>
      </c>
      <c r="D40" s="36">
        <f t="shared" si="14"/>
        <v>5.989217181710972</v>
      </c>
      <c r="E40" s="35">
        <f>1.25*6414.4</f>
        <v>8018</v>
      </c>
      <c r="F40" s="36">
        <f t="shared" si="15"/>
        <v>7.617115948336515</v>
      </c>
      <c r="G40" s="35">
        <f>1.25*5081.2</f>
        <v>6351.5</v>
      </c>
      <c r="H40" s="36">
        <f t="shared" si="16"/>
        <v>5.754005506686998</v>
      </c>
      <c r="I40" s="35">
        <f>1.25*5630.4</f>
        <v>7038</v>
      </c>
      <c r="J40" s="36">
        <f t="shared" si="17"/>
        <v>4.68982704680165</v>
      </c>
      <c r="K40" s="35">
        <f>1.25*11954.48</f>
        <v>14943.099999999999</v>
      </c>
      <c r="L40" s="36">
        <f t="shared" si="18"/>
        <v>4.374469085411135</v>
      </c>
      <c r="M40" s="35"/>
      <c r="N40" s="41"/>
      <c r="O40" s="42">
        <f t="shared" si="19"/>
        <v>87616.6</v>
      </c>
      <c r="P40" s="36">
        <f t="shared" si="20"/>
        <v>5.2761762725565715</v>
      </c>
      <c r="Q40" s="18"/>
    </row>
    <row r="41" spans="1:17" ht="15">
      <c r="A41" s="20"/>
      <c r="B41" s="28" t="s">
        <v>37</v>
      </c>
      <c r="C41" s="35">
        <f>1.25*16677.6</f>
        <v>20847</v>
      </c>
      <c r="D41" s="36">
        <f t="shared" si="14"/>
        <v>16.583505191543182</v>
      </c>
      <c r="E41" s="35">
        <f>1.25*6636.72</f>
        <v>8295.9</v>
      </c>
      <c r="F41" s="36">
        <f t="shared" si="15"/>
        <v>7.881121501098141</v>
      </c>
      <c r="G41" s="35">
        <f>1.25*3997.2</f>
        <v>4996.5</v>
      </c>
      <c r="H41" s="36">
        <f t="shared" si="16"/>
        <v>4.526472252879097</v>
      </c>
      <c r="I41" s="35">
        <f>1.25*6468</f>
        <v>8085</v>
      </c>
      <c r="J41" s="36">
        <f t="shared" si="17"/>
        <v>5.387503789910676</v>
      </c>
      <c r="K41" s="35">
        <f>1.25*15838</f>
        <v>19797.5</v>
      </c>
      <c r="L41" s="36">
        <f t="shared" si="18"/>
        <v>5.795554584954056</v>
      </c>
      <c r="M41" s="35"/>
      <c r="N41" s="41"/>
      <c r="O41" s="42">
        <f t="shared" si="19"/>
        <v>222705.4</v>
      </c>
      <c r="P41" s="36">
        <f t="shared" si="20"/>
        <v>13.41107675086936</v>
      </c>
      <c r="Q41" s="18"/>
    </row>
    <row r="42" spans="1:17" ht="15">
      <c r="A42" s="20"/>
      <c r="B42" s="28" t="s">
        <v>38</v>
      </c>
      <c r="C42" s="35">
        <f>1.25*12571.6</f>
        <v>15714.5</v>
      </c>
      <c r="D42" s="36">
        <f t="shared" si="14"/>
        <v>12.500671191658528</v>
      </c>
      <c r="E42" s="35">
        <f>1.25*9466.71</f>
        <v>11833.387499999999</v>
      </c>
      <c r="F42" s="36">
        <f t="shared" si="15"/>
        <v>11.2417416623966</v>
      </c>
      <c r="G42" s="35">
        <f>1.25*12622.08</f>
        <v>15777.6</v>
      </c>
      <c r="H42" s="36">
        <f t="shared" si="16"/>
        <v>14.293379088767185</v>
      </c>
      <c r="I42" s="35">
        <f>1.25*19172.96</f>
        <v>23966.199999999997</v>
      </c>
      <c r="J42" s="36">
        <f t="shared" si="17"/>
        <v>15.970067202196317</v>
      </c>
      <c r="K42" s="35">
        <f>1.25*45698.58</f>
        <v>57123.225000000006</v>
      </c>
      <c r="L42" s="36">
        <f t="shared" si="18"/>
        <v>16.72235224427893</v>
      </c>
      <c r="M42" s="35"/>
      <c r="N42" s="41"/>
      <c r="O42" s="42">
        <f t="shared" si="19"/>
        <v>267500.9</v>
      </c>
      <c r="P42" s="36">
        <f t="shared" si="20"/>
        <v>16.108612996481583</v>
      </c>
      <c r="Q42" s="18"/>
    </row>
    <row r="43" spans="1:17" ht="15">
      <c r="A43" s="20"/>
      <c r="B43" s="28" t="s">
        <v>39</v>
      </c>
      <c r="C43" s="35">
        <f>3235.2*1.25-C44</f>
        <v>2932</v>
      </c>
      <c r="D43" s="36">
        <f t="shared" si="14"/>
        <v>2.332366154439709</v>
      </c>
      <c r="E43" s="35">
        <f>1.25*4565.28-E44</f>
        <v>5011.599999999999</v>
      </c>
      <c r="F43" s="36">
        <f t="shared" si="15"/>
        <v>4.761029968406494</v>
      </c>
      <c r="G43" s="35">
        <f>1.25*4496.8-G44</f>
        <v>5343</v>
      </c>
      <c r="H43" s="36">
        <f t="shared" si="16"/>
        <v>4.840376512985693</v>
      </c>
      <c r="I43" s="35">
        <f>1.25*5574.88-I44</f>
        <v>5717.6</v>
      </c>
      <c r="J43" s="36">
        <f t="shared" si="17"/>
        <v>3.809968048137697</v>
      </c>
      <c r="K43" s="35">
        <f>1.25*13483.8-K44</f>
        <v>14213.75</v>
      </c>
      <c r="L43" s="36">
        <f t="shared" si="18"/>
        <v>4.16095789780986</v>
      </c>
      <c r="M43" s="35"/>
      <c r="N43" s="41"/>
      <c r="O43" s="42">
        <f t="shared" si="19"/>
        <v>62090.25</v>
      </c>
      <c r="P43" s="36">
        <f t="shared" si="20"/>
        <v>3.7390072635448726</v>
      </c>
      <c r="Q43" s="18"/>
    </row>
    <row r="44" spans="1:17" ht="15">
      <c r="A44" s="20"/>
      <c r="B44" s="28" t="s">
        <v>40</v>
      </c>
      <c r="C44" s="35">
        <f>1.25*889.6</f>
        <v>1112</v>
      </c>
      <c r="D44" s="36">
        <f t="shared" si="14"/>
        <v>0.8845808880412539</v>
      </c>
      <c r="E44" s="35">
        <f>1.25*556</f>
        <v>695</v>
      </c>
      <c r="F44" s="36">
        <f t="shared" si="15"/>
        <v>0.6602513824013317</v>
      </c>
      <c r="G44" s="35">
        <f>1.25*222.4</f>
        <v>278</v>
      </c>
      <c r="H44" s="36">
        <f t="shared" si="16"/>
        <v>0.25184815096575386</v>
      </c>
      <c r="I44" s="35">
        <f>1.25*1000.8</f>
        <v>1251</v>
      </c>
      <c r="J44" s="36">
        <f t="shared" si="17"/>
        <v>0.8336137589583494</v>
      </c>
      <c r="K44" s="35">
        <f>1.25*2112.8</f>
        <v>2641</v>
      </c>
      <c r="L44" s="36">
        <f t="shared" si="18"/>
        <v>0.7731309336463523</v>
      </c>
      <c r="M44" s="35"/>
      <c r="N44" s="41"/>
      <c r="O44" s="42">
        <f t="shared" si="19"/>
        <v>11078.3</v>
      </c>
      <c r="P44" s="36">
        <f t="shared" si="20"/>
        <v>0.6671231661610182</v>
      </c>
      <c r="Q44" s="18"/>
    </row>
    <row r="45" spans="1:17" ht="15">
      <c r="A45" s="20"/>
      <c r="B45" s="28" t="s">
        <v>41</v>
      </c>
      <c r="C45" s="35">
        <f>1.25*7300</f>
        <v>9125</v>
      </c>
      <c r="D45" s="36">
        <f t="shared" si="14"/>
        <v>7.258813492245001</v>
      </c>
      <c r="E45" s="35">
        <f>1.25*7796.97</f>
        <v>9746.2125</v>
      </c>
      <c r="F45" s="36">
        <f t="shared" si="15"/>
        <v>9.258921260866387</v>
      </c>
      <c r="G45" s="35">
        <f>1.25*3908</f>
        <v>4885</v>
      </c>
      <c r="H45" s="36">
        <f t="shared" si="16"/>
        <v>4.425461213912617</v>
      </c>
      <c r="I45" s="35">
        <f>1.25*3923.2</f>
        <v>4904</v>
      </c>
      <c r="J45" s="36">
        <f t="shared" si="17"/>
        <v>3.267819243750396</v>
      </c>
      <c r="K45" s="35">
        <f>1.25*16635.8</f>
        <v>20794.75</v>
      </c>
      <c r="L45" s="36">
        <f t="shared" si="18"/>
        <v>6.087491284529529</v>
      </c>
      <c r="M45" s="35"/>
      <c r="N45" s="41"/>
      <c r="O45" s="42">
        <f t="shared" si="19"/>
        <v>93127.7375</v>
      </c>
      <c r="P45" s="36">
        <f t="shared" si="20"/>
        <v>5.608050973381492</v>
      </c>
      <c r="Q45" s="18"/>
    </row>
    <row r="46" spans="1:17" ht="15">
      <c r="A46" s="20"/>
      <c r="B46" s="28" t="s">
        <v>42</v>
      </c>
      <c r="C46" s="35">
        <f>1.25*3718</f>
        <v>4647.5</v>
      </c>
      <c r="D46" s="36">
        <f>100*C46/C$57</f>
        <v>4.621278863727212</v>
      </c>
      <c r="E46" s="35">
        <f>1.25*3679.73</f>
        <v>4599.6625</v>
      </c>
      <c r="F46" s="36">
        <f>100*E46/E$57</f>
        <v>5.462110655044183</v>
      </c>
      <c r="G46" s="35">
        <f>1.25*4566.4</f>
        <v>5708</v>
      </c>
      <c r="H46" s="36">
        <f>100*G46/G$57</f>
        <v>6.46380056525415</v>
      </c>
      <c r="I46" s="35">
        <f>1.25*5797.48</f>
        <v>7246.849999999999</v>
      </c>
      <c r="J46" s="36">
        <f>100*I46/I$57</f>
        <v>6.036244873208748</v>
      </c>
      <c r="K46" s="35">
        <f>1.25*17706.76</f>
        <v>22133.449999999997</v>
      </c>
      <c r="L46" s="36">
        <f>100*K46/K$57</f>
        <v>8.09923081376129</v>
      </c>
      <c r="M46" s="35"/>
      <c r="N46" s="41"/>
      <c r="O46" s="42">
        <f t="shared" si="19"/>
        <v>77286.6875</v>
      </c>
      <c r="P46" s="36">
        <f>O46*100/$O$57</f>
        <v>5.817650233688516</v>
      </c>
      <c r="Q46" s="18"/>
    </row>
    <row r="47" spans="1:17" ht="15">
      <c r="A47" s="20"/>
      <c r="B47" s="28" t="s">
        <v>43</v>
      </c>
      <c r="C47" s="35">
        <f>1.25*2127.2</f>
        <v>2659</v>
      </c>
      <c r="D47" s="36">
        <f aca="true" t="shared" si="21" ref="D47:D55">80*C47/C$57</f>
        <v>2.115198364479941</v>
      </c>
      <c r="E47" s="35">
        <f>1.25*1734.88</f>
        <v>2168.6000000000004</v>
      </c>
      <c r="F47" s="36">
        <f aca="true" t="shared" si="22" ref="F47:F55">80*E47/E$57</f>
        <v>2.0601743134899686</v>
      </c>
      <c r="G47" s="35">
        <f>1.25*4034.8</f>
        <v>5043.5</v>
      </c>
      <c r="H47" s="36">
        <f aca="true" t="shared" si="23" ref="H47:H55">80*G47/G$57</f>
        <v>4.569050897107121</v>
      </c>
      <c r="I47" s="35">
        <f>1.25*2684.96</f>
        <v>3356.2</v>
      </c>
      <c r="J47" s="36">
        <f aca="true" t="shared" si="24" ref="J47:J55">80*I47/I$57</f>
        <v>2.236430453889698</v>
      </c>
      <c r="K47" s="35">
        <f>1.25*5446.4</f>
        <v>6808</v>
      </c>
      <c r="L47" s="36">
        <f aca="true" t="shared" si="25" ref="L47:L55">80*K47/K$57</f>
        <v>1.9929857615540958</v>
      </c>
      <c r="M47" s="35"/>
      <c r="N47" s="41"/>
      <c r="O47" s="42">
        <f t="shared" si="19"/>
        <v>42464.1</v>
      </c>
      <c r="P47" s="36">
        <f aca="true" t="shared" si="26" ref="P47:P55">O47*80/$O$57</f>
        <v>2.5571418755746005</v>
      </c>
      <c r="Q47" s="18"/>
    </row>
    <row r="48" spans="1:17" ht="15">
      <c r="A48" s="20"/>
      <c r="B48" s="28" t="s">
        <v>44</v>
      </c>
      <c r="C48" s="35">
        <f>1.25*2576.16</f>
        <v>3220.2</v>
      </c>
      <c r="D48" s="36">
        <f t="shared" si="21"/>
        <v>2.5616253378331346</v>
      </c>
      <c r="E48" s="35">
        <f>1.25*3410.16</f>
        <v>4262.7</v>
      </c>
      <c r="F48" s="36">
        <f t="shared" si="22"/>
        <v>4.04957347879447</v>
      </c>
      <c r="G48" s="35">
        <f>1.25*4317.6</f>
        <v>5397</v>
      </c>
      <c r="H48" s="36">
        <f t="shared" si="23"/>
        <v>4.88929665741789</v>
      </c>
      <c r="I48" s="35">
        <f>1.25*5051.92</f>
        <v>6314.9</v>
      </c>
      <c r="J48" s="36">
        <f t="shared" si="24"/>
        <v>4.207983634249465</v>
      </c>
      <c r="K48" s="35">
        <f>1.25*13464.4</f>
        <v>16830.5</v>
      </c>
      <c r="L48" s="36">
        <f t="shared" si="25"/>
        <v>4.926989844276764</v>
      </c>
      <c r="M48" s="35"/>
      <c r="N48" s="41"/>
      <c r="O48" s="42">
        <f t="shared" si="19"/>
        <v>66892</v>
      </c>
      <c r="P48" s="36">
        <f t="shared" si="26"/>
        <v>4.028163421359128</v>
      </c>
      <c r="Q48" s="18"/>
    </row>
    <row r="49" spans="1:17" ht="15">
      <c r="A49" s="20"/>
      <c r="B49" s="28" t="s">
        <v>45</v>
      </c>
      <c r="C49" s="35">
        <f>1.25*2350</f>
        <v>2937.5</v>
      </c>
      <c r="D49" s="36">
        <f t="shared" si="21"/>
        <v>2.336741329695309</v>
      </c>
      <c r="E49" s="35">
        <f>1.25*2015.28</f>
        <v>2519.1</v>
      </c>
      <c r="F49" s="36">
        <f t="shared" si="22"/>
        <v>2.393150010657834</v>
      </c>
      <c r="G49" s="35">
        <f>1.25*1058.4</f>
        <v>1323</v>
      </c>
      <c r="H49" s="36">
        <f t="shared" si="23"/>
        <v>1.1985435385888212</v>
      </c>
      <c r="I49" s="35">
        <f>1.25*2661.52</f>
        <v>3326.9</v>
      </c>
      <c r="J49" s="36">
        <f t="shared" si="24"/>
        <v>2.2169061668093786</v>
      </c>
      <c r="K49" s="35">
        <f>1.25*5955.2</f>
        <v>7444</v>
      </c>
      <c r="L49" s="36">
        <f t="shared" si="25"/>
        <v>2.179169507786235</v>
      </c>
      <c r="M49" s="35"/>
      <c r="N49" s="41"/>
      <c r="O49" s="42">
        <f t="shared" si="19"/>
        <v>32687.5</v>
      </c>
      <c r="P49" s="36">
        <f t="shared" si="26"/>
        <v>1.9684056663827738</v>
      </c>
      <c r="Q49" s="18"/>
    </row>
    <row r="50" spans="1:17" ht="15">
      <c r="A50" s="20"/>
      <c r="B50" s="28" t="s">
        <v>46</v>
      </c>
      <c r="C50" s="35">
        <f>1.25*2267.68</f>
        <v>2834.6</v>
      </c>
      <c r="D50" s="36">
        <f t="shared" si="21"/>
        <v>2.254885778095088</v>
      </c>
      <c r="E50" s="35">
        <f>1.25*2924.1</f>
        <v>3655.125</v>
      </c>
      <c r="F50" s="36">
        <f t="shared" si="22"/>
        <v>3.4723760202872915</v>
      </c>
      <c r="G50" s="35">
        <f>1.25*1778.64</f>
        <v>2223.3</v>
      </c>
      <c r="H50" s="36">
        <f t="shared" si="23"/>
        <v>2.014151057705613</v>
      </c>
      <c r="I50" s="35">
        <f>1.25*4782.24</f>
        <v>5977.799999999999</v>
      </c>
      <c r="J50" s="36">
        <f t="shared" si="24"/>
        <v>3.9833543791376664</v>
      </c>
      <c r="K50" s="35">
        <f>1.25*10632.84</f>
        <v>13291.05</v>
      </c>
      <c r="L50" s="36">
        <f t="shared" si="25"/>
        <v>3.890845094903579</v>
      </c>
      <c r="M50" s="35"/>
      <c r="N50" s="41"/>
      <c r="O50" s="42">
        <f t="shared" si="19"/>
        <v>47394.575</v>
      </c>
      <c r="P50" s="36">
        <f t="shared" si="26"/>
        <v>2.8540497127588025</v>
      </c>
      <c r="Q50" s="18"/>
    </row>
    <row r="51" spans="1:17" ht="15">
      <c r="A51" s="20"/>
      <c r="B51" s="28" t="s">
        <v>47</v>
      </c>
      <c r="C51" s="35">
        <f>1.25*735.2</f>
        <v>919</v>
      </c>
      <c r="D51" s="36">
        <f t="shared" si="21"/>
        <v>0.7310520108902089</v>
      </c>
      <c r="E51" s="35">
        <f>1.25*99.2</f>
        <v>124</v>
      </c>
      <c r="F51" s="36">
        <f t="shared" si="22"/>
        <v>0.11780024664426639</v>
      </c>
      <c r="G51" s="35">
        <f>1.25*2976.42</f>
        <v>3720.525</v>
      </c>
      <c r="H51" s="36">
        <f t="shared" si="23"/>
        <v>3.370530006733314</v>
      </c>
      <c r="I51" s="35">
        <f>1.25*12533.92</f>
        <v>15667.4</v>
      </c>
      <c r="J51" s="36">
        <f t="shared" si="24"/>
        <v>10.440096088812187</v>
      </c>
      <c r="K51" s="35">
        <f>1.25*25190.36</f>
        <v>31487.95</v>
      </c>
      <c r="L51" s="36">
        <f t="shared" si="25"/>
        <v>9.217837251840084</v>
      </c>
      <c r="M51" s="35"/>
      <c r="N51" s="41"/>
      <c r="O51" s="42">
        <f t="shared" si="19"/>
        <v>55015.975000000006</v>
      </c>
      <c r="P51" s="36">
        <f t="shared" si="26"/>
        <v>3.3130021241016605</v>
      </c>
      <c r="Q51" s="18"/>
    </row>
    <row r="52" spans="1:17" ht="15">
      <c r="A52" s="20"/>
      <c r="B52" s="28" t="s">
        <v>48</v>
      </c>
      <c r="C52" s="35">
        <v>375</v>
      </c>
      <c r="D52" s="36">
        <f t="shared" si="21"/>
        <v>0.29830740379089044</v>
      </c>
      <c r="E52" s="35">
        <v>85</v>
      </c>
      <c r="F52" s="36">
        <f t="shared" si="22"/>
        <v>0.08075016907066647</v>
      </c>
      <c r="G52" s="35">
        <v>85</v>
      </c>
      <c r="H52" s="36">
        <f t="shared" si="23"/>
        <v>0.07700393105068012</v>
      </c>
      <c r="I52" s="35">
        <v>0</v>
      </c>
      <c r="J52" s="36">
        <f t="shared" si="24"/>
        <v>0</v>
      </c>
      <c r="K52" s="35">
        <v>498</v>
      </c>
      <c r="L52" s="36">
        <f t="shared" si="25"/>
        <v>0.14578538620063744</v>
      </c>
      <c r="M52" s="35"/>
      <c r="N52" s="41"/>
      <c r="O52" s="42">
        <f t="shared" si="19"/>
        <v>1593</v>
      </c>
      <c r="P52" s="36">
        <f t="shared" si="26"/>
        <v>0.09592872585996967</v>
      </c>
      <c r="Q52" s="18"/>
    </row>
    <row r="53" spans="1:17" ht="15">
      <c r="A53" s="20"/>
      <c r="B53" s="28" t="s">
        <v>60</v>
      </c>
      <c r="C53" s="35">
        <f>1.25*4368.96</f>
        <v>5461.2</v>
      </c>
      <c r="D53" s="36">
        <f t="shared" si="21"/>
        <v>4.344310382887496</v>
      </c>
      <c r="E53" s="35">
        <f>1.25*2784.56</f>
        <v>3480.7</v>
      </c>
      <c r="F53" s="36">
        <f t="shared" si="22"/>
        <v>3.306671923344339</v>
      </c>
      <c r="G53" s="35">
        <f>1.25*4382.64</f>
        <v>5478.3</v>
      </c>
      <c r="H53" s="36">
        <f t="shared" si="23"/>
        <v>4.962948652646364</v>
      </c>
      <c r="I53" s="35">
        <f>1.25*3976.4</f>
        <v>4970.5</v>
      </c>
      <c r="J53" s="36">
        <f t="shared" si="24"/>
        <v>3.3121320454855923</v>
      </c>
      <c r="K53" s="35">
        <f>1.25*9768.72</f>
        <v>12210.9</v>
      </c>
      <c r="L53" s="36">
        <f t="shared" si="25"/>
        <v>3.5746401051352685</v>
      </c>
      <c r="M53" s="35"/>
      <c r="N53" s="41"/>
      <c r="O53" s="42">
        <f t="shared" si="19"/>
        <v>56822.950000000004</v>
      </c>
      <c r="P53" s="36">
        <f t="shared" si="26"/>
        <v>3.421816191528414</v>
      </c>
      <c r="Q53" s="18"/>
    </row>
    <row r="54" spans="1:17" ht="15">
      <c r="A54" s="20"/>
      <c r="B54" s="28" t="s">
        <v>49</v>
      </c>
      <c r="C54" s="35">
        <f>1.25*3549.6</f>
        <v>4437</v>
      </c>
      <c r="D54" s="36">
        <f t="shared" si="21"/>
        <v>3.529573201653816</v>
      </c>
      <c r="E54" s="35">
        <f>1.25*2411.6</f>
        <v>3014.5</v>
      </c>
      <c r="F54" s="36">
        <f t="shared" si="22"/>
        <v>2.8637809960414597</v>
      </c>
      <c r="G54" s="35">
        <f>1.25*1542.88</f>
        <v>1928.6000000000001</v>
      </c>
      <c r="H54" s="36">
        <f t="shared" si="23"/>
        <v>1.7471738991099024</v>
      </c>
      <c r="I54" s="35">
        <f>1.25*3164.24</f>
        <v>3955.2999999999997</v>
      </c>
      <c r="J54" s="36">
        <f t="shared" si="24"/>
        <v>2.6356454842589607</v>
      </c>
      <c r="K54" s="35">
        <f>1.25*6801.68</f>
        <v>8502.1</v>
      </c>
      <c r="L54" s="36">
        <f t="shared" si="25"/>
        <v>2.488919542201686</v>
      </c>
      <c r="M54" s="35"/>
      <c r="N54" s="41"/>
      <c r="O54" s="42">
        <f t="shared" si="19"/>
        <v>42625.799999999996</v>
      </c>
      <c r="P54" s="36">
        <f t="shared" si="26"/>
        <v>2.5668792735479564</v>
      </c>
      <c r="Q54" s="18"/>
    </row>
    <row r="55" spans="1:17" ht="15.75" thickBot="1">
      <c r="A55" s="20"/>
      <c r="B55" s="28" t="s">
        <v>50</v>
      </c>
      <c r="C55" s="35">
        <f>1.25*112.8</f>
        <v>141</v>
      </c>
      <c r="D55" s="36">
        <f t="shared" si="21"/>
        <v>0.11216358382537481</v>
      </c>
      <c r="E55" s="35">
        <f>1.25*112.8</f>
        <v>141</v>
      </c>
      <c r="F55" s="36">
        <f t="shared" si="22"/>
        <v>0.13395028045839968</v>
      </c>
      <c r="G55" s="35">
        <f>1.25*90.4</f>
        <v>113</v>
      </c>
      <c r="H55" s="36">
        <f t="shared" si="23"/>
        <v>0.10236993186737477</v>
      </c>
      <c r="I55" s="35">
        <f>1.25*186.92</f>
        <v>233.64999999999998</v>
      </c>
      <c r="J55" s="36">
        <f t="shared" si="24"/>
        <v>0.15569452820193314</v>
      </c>
      <c r="K55" s="35">
        <f>1.25*337.72</f>
        <v>422.15000000000003</v>
      </c>
      <c r="L55" s="36">
        <f t="shared" si="25"/>
        <v>0.12358092527027931</v>
      </c>
      <c r="M55" s="35"/>
      <c r="N55" s="41"/>
      <c r="O55" s="42">
        <f t="shared" si="19"/>
        <v>1967.85</v>
      </c>
      <c r="P55" s="36">
        <f t="shared" si="26"/>
        <v>0.11850178479820547</v>
      </c>
      <c r="Q55" s="18"/>
    </row>
    <row r="56" spans="1:17" ht="16.5" thickBot="1" thickTop="1">
      <c r="A56" s="20"/>
      <c r="B56" s="27" t="s">
        <v>9</v>
      </c>
      <c r="C56" s="33">
        <f>SUM(C35:C55)</f>
        <v>125615.5</v>
      </c>
      <c r="D56" s="34"/>
      <c r="E56" s="33">
        <f>SUM(E35:E55)</f>
        <v>105241.68750000001</v>
      </c>
      <c r="F56" s="34"/>
      <c r="G56" s="33">
        <f>SUM(G35:G55)</f>
        <v>110362.725</v>
      </c>
      <c r="H56" s="34"/>
      <c r="I56" s="33">
        <f>SUM(I35:I55)</f>
        <v>150069.49999999997</v>
      </c>
      <c r="J56" s="34"/>
      <c r="K56" s="33">
        <f>SUM(K35:K55)</f>
        <v>341473.525</v>
      </c>
      <c r="L56" s="34"/>
      <c r="M56" s="33">
        <f>SUM(M35:M55)</f>
        <v>0</v>
      </c>
      <c r="N56" s="5"/>
      <c r="O56" s="38">
        <f>SUM(O35:O55)</f>
        <v>1660209.6500000004</v>
      </c>
      <c r="P56" s="34"/>
      <c r="Q56" s="18"/>
    </row>
    <row r="57" spans="1:17" ht="16.5" thickBot="1" thickTop="1">
      <c r="A57" s="20"/>
      <c r="B57" s="27" t="s">
        <v>10</v>
      </c>
      <c r="C57" s="33">
        <f>C56*0.8+C52*0.2</f>
        <v>100567.40000000001</v>
      </c>
      <c r="D57" s="34"/>
      <c r="E57" s="33">
        <f>E56*0.8+E52*0.2</f>
        <v>84210.35000000002</v>
      </c>
      <c r="F57" s="34"/>
      <c r="G57" s="33">
        <f>G56*0.8+G52*0.2</f>
        <v>88307.18000000001</v>
      </c>
      <c r="H57" s="34"/>
      <c r="I57" s="33">
        <f>I56*0.8+I52*0.2</f>
        <v>120055.59999999998</v>
      </c>
      <c r="J57" s="34"/>
      <c r="K57" s="33">
        <f>K56*0.8+K52*0.2</f>
        <v>273278.42</v>
      </c>
      <c r="L57" s="34"/>
      <c r="M57" s="33">
        <f>M56*0.8+M46*0.2</f>
        <v>0</v>
      </c>
      <c r="N57" s="5"/>
      <c r="O57" s="38">
        <f>O56*0.8+O52*0.2</f>
        <v>1328486.3200000005</v>
      </c>
      <c r="P57" s="34"/>
      <c r="Q57" s="18"/>
    </row>
    <row r="58" spans="1:17" ht="16.5" thickBot="1" thickTop="1">
      <c r="A58" s="20"/>
      <c r="B58" s="29"/>
      <c r="C58" s="37"/>
      <c r="D58" s="5"/>
      <c r="E58" s="37"/>
      <c r="F58" s="5"/>
      <c r="G58" s="37"/>
      <c r="H58" s="5"/>
      <c r="I58" s="37"/>
      <c r="J58" s="5"/>
      <c r="K58" s="37"/>
      <c r="L58" s="5"/>
      <c r="M58" s="37"/>
      <c r="N58" s="5"/>
      <c r="O58" s="37"/>
      <c r="P58" s="5"/>
      <c r="Q58" s="20"/>
    </row>
    <row r="59" spans="1:17" ht="16.5" thickBot="1" thickTop="1">
      <c r="A59" s="20"/>
      <c r="B59" s="27" t="s">
        <v>11</v>
      </c>
      <c r="C59" s="38"/>
      <c r="D59" s="5">
        <v>27</v>
      </c>
      <c r="E59" s="38"/>
      <c r="F59" s="5">
        <v>25</v>
      </c>
      <c r="G59" s="38"/>
      <c r="H59" s="5">
        <v>27</v>
      </c>
      <c r="I59" s="38"/>
      <c r="J59" s="5">
        <v>26</v>
      </c>
      <c r="K59" s="38"/>
      <c r="L59" s="5">
        <v>25</v>
      </c>
      <c r="M59" s="38"/>
      <c r="N59" s="5"/>
      <c r="O59" s="38"/>
      <c r="P59" s="5">
        <f>SUM(A28:P28)+SUM(A59:N59)</f>
        <v>305</v>
      </c>
      <c r="Q59" s="18"/>
    </row>
    <row r="60" spans="1:17" ht="16.5" thickBot="1" thickTop="1">
      <c r="A60" s="20"/>
      <c r="B60" s="27" t="s">
        <v>12</v>
      </c>
      <c r="C60" s="38">
        <f>C56/D59</f>
        <v>4652.425925925926</v>
      </c>
      <c r="D60" s="37"/>
      <c r="E60" s="38">
        <f>E56/F59</f>
        <v>4209.6675000000005</v>
      </c>
      <c r="F60" s="37"/>
      <c r="G60" s="38">
        <f>G56/H59</f>
        <v>4087.5083333333337</v>
      </c>
      <c r="H60" s="37"/>
      <c r="I60" s="38">
        <f>I56/J59</f>
        <v>5771.903846153845</v>
      </c>
      <c r="J60" s="37"/>
      <c r="K60" s="38">
        <f>K56/L59</f>
        <v>13658.941</v>
      </c>
      <c r="L60" s="37"/>
      <c r="M60" s="38"/>
      <c r="N60" s="37"/>
      <c r="O60" s="38">
        <f>O56/P59</f>
        <v>5443.310327868854</v>
      </c>
      <c r="P60" s="37"/>
      <c r="Q60" s="19"/>
    </row>
    <row r="61" spans="1:17" ht="16.5" thickBot="1" thickTop="1">
      <c r="A61" s="20"/>
      <c r="B61" s="2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"/>
      <c r="Q61" s="20"/>
    </row>
    <row r="62" spans="1:17" ht="16.5" thickBot="1" thickTop="1">
      <c r="A62" s="32"/>
      <c r="B62" s="27" t="s">
        <v>70</v>
      </c>
      <c r="C62" s="38">
        <v>4974</v>
      </c>
      <c r="D62" s="37"/>
      <c r="E62" s="38">
        <v>4776</v>
      </c>
      <c r="F62" s="37"/>
      <c r="G62" s="38">
        <v>4080</v>
      </c>
      <c r="H62" s="37"/>
      <c r="I62" s="38">
        <v>5354</v>
      </c>
      <c r="J62" s="37"/>
      <c r="K62" s="38">
        <v>12961</v>
      </c>
      <c r="L62" s="37"/>
      <c r="M62" s="38"/>
      <c r="N62" s="37"/>
      <c r="O62" s="38">
        <v>5269</v>
      </c>
      <c r="P62" s="37"/>
      <c r="Q62" s="56"/>
    </row>
    <row r="63" spans="1:17" ht="16.5" thickBot="1" thickTop="1">
      <c r="A63" s="32"/>
      <c r="B63" s="27" t="s">
        <v>68</v>
      </c>
      <c r="C63" s="38">
        <v>4261</v>
      </c>
      <c r="D63" s="37"/>
      <c r="E63" s="38">
        <v>3570</v>
      </c>
      <c r="F63" s="37"/>
      <c r="G63" s="38">
        <v>3052</v>
      </c>
      <c r="H63" s="37"/>
      <c r="I63" s="38">
        <v>4531</v>
      </c>
      <c r="J63" s="37"/>
      <c r="K63" s="38">
        <v>12256</v>
      </c>
      <c r="L63" s="37"/>
      <c r="M63" s="38"/>
      <c r="N63" s="37"/>
      <c r="O63" s="38">
        <v>4554</v>
      </c>
      <c r="P63" s="37"/>
      <c r="Q63" s="56"/>
    </row>
    <row r="64" spans="1:17" ht="15.75" thickTop="1">
      <c r="A64" s="32"/>
      <c r="B64" s="29"/>
      <c r="C64" s="37"/>
      <c r="D64" s="5"/>
      <c r="E64" s="37"/>
      <c r="F64" s="5"/>
      <c r="G64" s="37"/>
      <c r="H64" s="5"/>
      <c r="I64" s="37"/>
      <c r="J64" s="5"/>
      <c r="K64" s="37"/>
      <c r="L64" s="5"/>
      <c r="M64" s="37"/>
      <c r="N64" s="5"/>
      <c r="O64" s="37"/>
      <c r="P64" s="5"/>
      <c r="Q64" s="32"/>
    </row>
    <row r="65" spans="1:17" ht="15">
      <c r="A65" s="32"/>
      <c r="B65" s="26"/>
      <c r="C65" s="39"/>
      <c r="D65" s="32"/>
      <c r="E65" s="39"/>
      <c r="F65" s="32"/>
      <c r="G65" s="39"/>
      <c r="H65" s="32"/>
      <c r="I65" s="39"/>
      <c r="J65" s="39" t="s">
        <v>20</v>
      </c>
      <c r="K65" s="39"/>
      <c r="L65" s="32" t="s">
        <v>71</v>
      </c>
      <c r="M65" s="39" t="s">
        <v>21</v>
      </c>
      <c r="N65" s="32"/>
      <c r="O65" s="39">
        <v>1601656</v>
      </c>
      <c r="P65" s="32"/>
      <c r="Q65" s="32"/>
    </row>
    <row r="66" spans="1:17" ht="15">
      <c r="A66" s="32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69</v>
      </c>
      <c r="M66" s="39" t="s">
        <v>21</v>
      </c>
      <c r="N66" s="32"/>
      <c r="O66" s="39">
        <v>1384530</v>
      </c>
      <c r="P66" s="32"/>
      <c r="Q66" s="32"/>
    </row>
    <row r="67" spans="1:17" ht="15">
      <c r="A67" s="32"/>
      <c r="B67" s="26"/>
      <c r="C67" s="39"/>
      <c r="D67" s="32"/>
      <c r="E67" s="39"/>
      <c r="F67" s="32"/>
      <c r="G67" s="39"/>
      <c r="H67" s="32"/>
      <c r="I67" s="39"/>
      <c r="J67" s="32"/>
      <c r="K67" s="39"/>
      <c r="L67" s="32"/>
      <c r="M67" s="39"/>
      <c r="N67" s="32"/>
      <c r="O67" s="39"/>
      <c r="P67" s="32"/>
      <c r="Q67" s="32"/>
    </row>
    <row r="68" spans="1:17" ht="15">
      <c r="A68" s="20"/>
      <c r="B68" s="26"/>
      <c r="C68" s="39"/>
      <c r="D68" s="39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5">
      <c r="A69" s="20"/>
      <c r="B69" s="26"/>
      <c r="C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5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3:15" ht="15">
      <c r="C76" s="44"/>
      <c r="E76" s="44"/>
      <c r="G76" s="44"/>
      <c r="I76" s="44"/>
      <c r="K76" s="44"/>
      <c r="M76" s="44"/>
      <c r="O76" s="44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3" ht="15">
      <c r="C93" s="44"/>
      <c r="E93" s="45"/>
      <c r="G93" s="44"/>
      <c r="I93" s="44"/>
      <c r="K93" s="44"/>
      <c r="M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5"/>
      <c r="E104" s="45"/>
      <c r="G104" s="44"/>
      <c r="I104" s="44"/>
      <c r="K104" s="44"/>
      <c r="M104" s="44"/>
    </row>
    <row r="105" spans="3:13" ht="15">
      <c r="C105" s="44"/>
      <c r="E105" s="44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5" ht="15">
      <c r="C192" s="45"/>
      <c r="E192" s="45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A34">
      <selection activeCell="A53" sqref="A53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21484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5">
      <c r="A1" s="20"/>
      <c r="B1" s="26"/>
      <c r="C1" s="31"/>
      <c r="D1" s="32"/>
      <c r="E1" s="31"/>
      <c r="F1" s="51" t="s">
        <v>67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5.75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6.5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7" ht="15.75" thickTop="1">
      <c r="A4" s="20"/>
      <c r="B4" s="27" t="s">
        <v>31</v>
      </c>
      <c r="C4" s="33">
        <f>1.25*2706.48</f>
        <v>3383.1</v>
      </c>
      <c r="D4" s="34">
        <f aca="true" t="shared" si="0" ref="D4:D14">80*C4/C$26</f>
        <v>5.08305355829525</v>
      </c>
      <c r="E4" s="33">
        <f>1.25*4366.8</f>
        <v>5458.5</v>
      </c>
      <c r="F4" s="34">
        <f aca="true" t="shared" si="1" ref="F4:F14">80*E4/E$26</f>
        <v>7.17454780370248</v>
      </c>
      <c r="G4" s="33">
        <f>1.25*2492.4</f>
        <v>3115.5</v>
      </c>
      <c r="H4" s="34">
        <f aca="true" t="shared" si="2" ref="H4:H14">80*G4/G$26</f>
        <v>3.6743584356998324</v>
      </c>
      <c r="I4" s="33">
        <f>1.25*3192</f>
        <v>3990</v>
      </c>
      <c r="J4" s="34">
        <f aca="true" t="shared" si="3" ref="J4:J14">80*I4/I$26</f>
        <v>3.949857597239257</v>
      </c>
      <c r="K4" s="33">
        <f>1.25*4060</f>
        <v>5075</v>
      </c>
      <c r="L4" s="34">
        <f aca="true" t="shared" si="4" ref="L4:L14">80*K4/K$26</f>
        <v>3.89528364620808</v>
      </c>
      <c r="M4" s="33">
        <f>1.25*3622.08</f>
        <v>4527.6</v>
      </c>
      <c r="N4" s="34">
        <f aca="true" t="shared" si="5" ref="N4:N14">80*M4/M$26</f>
        <v>2.9803685108887192</v>
      </c>
      <c r="O4" s="33">
        <f>1.25*4138.8</f>
        <v>5173.5</v>
      </c>
      <c r="P4" s="34">
        <f aca="true" t="shared" si="6" ref="P4:P14">80*O4/O$26</f>
        <v>3.147148586657453</v>
      </c>
      <c r="Q4" s="18"/>
    </row>
    <row r="5" spans="1:17" ht="15">
      <c r="A5" s="20"/>
      <c r="B5" s="28" t="s">
        <v>32</v>
      </c>
      <c r="C5" s="35">
        <f>1.25*3401.6</f>
        <v>4252</v>
      </c>
      <c r="D5" s="36">
        <f t="shared" si="0"/>
        <v>6.388561889944548</v>
      </c>
      <c r="E5" s="35">
        <f>1.25*5700.24</f>
        <v>7125.299999999999</v>
      </c>
      <c r="F5" s="36">
        <f t="shared" si="1"/>
        <v>9.365357784321935</v>
      </c>
      <c r="G5" s="35">
        <f>1.25*5485.6</f>
        <v>6857</v>
      </c>
      <c r="H5" s="36">
        <f t="shared" si="2"/>
        <v>8.08700876058217</v>
      </c>
      <c r="I5" s="35">
        <f>1.25*4692.8</f>
        <v>5866</v>
      </c>
      <c r="J5" s="36">
        <f t="shared" si="3"/>
        <v>5.806983625414908</v>
      </c>
      <c r="K5" s="35">
        <f>1.25*5841.36</f>
        <v>7301.7</v>
      </c>
      <c r="L5" s="36">
        <f t="shared" si="4"/>
        <v>5.6043729260133075</v>
      </c>
      <c r="M5" s="35">
        <f>1.25*6280.16</f>
        <v>7850.2</v>
      </c>
      <c r="N5" s="36">
        <f t="shared" si="5"/>
        <v>5.16752559505668</v>
      </c>
      <c r="O5" s="35">
        <f>1.25*8620</f>
        <v>10775</v>
      </c>
      <c r="P5" s="36">
        <f t="shared" si="6"/>
        <v>6.554658552475897</v>
      </c>
      <c r="Q5" s="18"/>
    </row>
    <row r="6" spans="1:17" ht="15">
      <c r="A6" s="20"/>
      <c r="B6" s="28" t="s">
        <v>33</v>
      </c>
      <c r="C6" s="35">
        <f>1.25*1524</f>
        <v>1905</v>
      </c>
      <c r="D6" s="36">
        <f t="shared" si="0"/>
        <v>2.862231985029249</v>
      </c>
      <c r="E6" s="35">
        <f>1.25*2644.12</f>
        <v>3305.1499999999996</v>
      </c>
      <c r="F6" s="36">
        <f t="shared" si="1"/>
        <v>4.344225826400522</v>
      </c>
      <c r="G6" s="35">
        <f>1.25*2323.2</f>
        <v>2904</v>
      </c>
      <c r="H6" s="36">
        <f t="shared" si="2"/>
        <v>3.4249195625974362</v>
      </c>
      <c r="I6" s="35">
        <f>1.25*3283.68</f>
        <v>4104.599999999999</v>
      </c>
      <c r="J6" s="36">
        <f t="shared" si="3"/>
        <v>4.063304634994549</v>
      </c>
      <c r="K6" s="35">
        <f>1.25*2316.8</f>
        <v>2896</v>
      </c>
      <c r="L6" s="36">
        <f t="shared" si="4"/>
        <v>2.22280619495933</v>
      </c>
      <c r="M6" s="35">
        <f>1.25*4084.08</f>
        <v>5105.1</v>
      </c>
      <c r="N6" s="36">
        <f t="shared" si="5"/>
        <v>3.3605175556449334</v>
      </c>
      <c r="O6" s="35">
        <f>1.25*2806.4</f>
        <v>3508</v>
      </c>
      <c r="P6" s="36">
        <f t="shared" si="6"/>
        <v>2.133989995553174</v>
      </c>
      <c r="Q6" s="18"/>
    </row>
    <row r="7" spans="1:17" ht="15">
      <c r="A7" s="20"/>
      <c r="B7" s="28" t="s">
        <v>34</v>
      </c>
      <c r="C7" s="35">
        <f>1.25*5487.56</f>
        <v>6859.450000000001</v>
      </c>
      <c r="D7" s="36">
        <f t="shared" si="0"/>
        <v>10.306213747878678</v>
      </c>
      <c r="E7" s="35">
        <f>1.25*5985.36</f>
        <v>7481.7</v>
      </c>
      <c r="F7" s="36">
        <f t="shared" si="1"/>
        <v>9.833803114951149</v>
      </c>
      <c r="G7" s="35">
        <f>1.25*3281.2</f>
        <v>4101.5</v>
      </c>
      <c r="H7" s="36">
        <f t="shared" si="2"/>
        <v>4.837227130163011</v>
      </c>
      <c r="I7" s="35">
        <f>1.25*1699.2</f>
        <v>2124</v>
      </c>
      <c r="J7" s="36">
        <f t="shared" si="3"/>
        <v>2.10263096153789</v>
      </c>
      <c r="K7" s="35">
        <f>1.25*1294.4</f>
        <v>1618</v>
      </c>
      <c r="L7" s="36">
        <f t="shared" si="4"/>
        <v>1.2418855053329405</v>
      </c>
      <c r="M7" s="35">
        <f>1.25*2793.2</f>
        <v>3491.5</v>
      </c>
      <c r="N7" s="36">
        <f t="shared" si="5"/>
        <v>2.2983383372577</v>
      </c>
      <c r="O7" s="35">
        <f>1.25*2054.4</f>
        <v>2568</v>
      </c>
      <c r="P7" s="36">
        <f t="shared" si="6"/>
        <v>1.5621682749659493</v>
      </c>
      <c r="Q7" s="18"/>
    </row>
    <row r="8" spans="1:17" ht="15">
      <c r="A8" s="20"/>
      <c r="B8" s="28" t="s">
        <v>35</v>
      </c>
      <c r="C8" s="35">
        <f>1.25*7006.8</f>
        <v>8758.5</v>
      </c>
      <c r="D8" s="36">
        <f t="shared" si="0"/>
        <v>13.159505953217153</v>
      </c>
      <c r="E8" s="35">
        <f>1.25*6872.08</f>
        <v>8590.1</v>
      </c>
      <c r="F8" s="36">
        <f t="shared" si="1"/>
        <v>11.290662835684651</v>
      </c>
      <c r="G8" s="35">
        <f>1.25*7664.88</f>
        <v>9581.1</v>
      </c>
      <c r="H8" s="36">
        <f t="shared" si="2"/>
        <v>11.299757858540737</v>
      </c>
      <c r="I8" s="35">
        <f>1.25*10404.8</f>
        <v>13006</v>
      </c>
      <c r="J8" s="36">
        <f t="shared" si="3"/>
        <v>12.875149852053578</v>
      </c>
      <c r="K8" s="35">
        <f>1.25*8742.8</f>
        <v>10928.5</v>
      </c>
      <c r="L8" s="36">
        <f t="shared" si="4"/>
        <v>8.388099966026601</v>
      </c>
      <c r="M8" s="35">
        <f>1.25*11952.88</f>
        <v>14941.099999999999</v>
      </c>
      <c r="N8" s="36">
        <f t="shared" si="5"/>
        <v>9.835229251267656</v>
      </c>
      <c r="O8" s="35">
        <f>1.25*10931.52</f>
        <v>13664.400000000001</v>
      </c>
      <c r="P8" s="36">
        <f t="shared" si="6"/>
        <v>8.312341190204329</v>
      </c>
      <c r="Q8" s="18"/>
    </row>
    <row r="9" spans="1:17" ht="15">
      <c r="A9" s="20"/>
      <c r="B9" s="28" t="s">
        <v>51</v>
      </c>
      <c r="C9" s="35">
        <f>1.25*781.6</f>
        <v>977</v>
      </c>
      <c r="D9" s="36">
        <f t="shared" si="0"/>
        <v>1.4679268500648692</v>
      </c>
      <c r="E9" s="35">
        <f>1.25*2935.2</f>
        <v>3669</v>
      </c>
      <c r="F9" s="36">
        <f t="shared" si="1"/>
        <v>4.822463294272126</v>
      </c>
      <c r="G9" s="35">
        <f>1.25*2075.2</f>
        <v>2594</v>
      </c>
      <c r="H9" s="36">
        <f t="shared" si="2"/>
        <v>3.0593117580501894</v>
      </c>
      <c r="I9" s="35">
        <f>1.25*1027.6</f>
        <v>1284.5</v>
      </c>
      <c r="J9" s="36">
        <f t="shared" si="3"/>
        <v>1.2715769633217608</v>
      </c>
      <c r="K9" s="35">
        <f>1.25*2096</f>
        <v>2620</v>
      </c>
      <c r="L9" s="36">
        <f t="shared" si="4"/>
        <v>2.010964168091659</v>
      </c>
      <c r="M9" s="35">
        <f>1.25*3750</f>
        <v>4687.5</v>
      </c>
      <c r="N9" s="36">
        <f t="shared" si="5"/>
        <v>3.085625363280959</v>
      </c>
      <c r="O9" s="35">
        <f>1.25*2268</f>
        <v>2835</v>
      </c>
      <c r="P9" s="36">
        <f t="shared" si="6"/>
        <v>1.724589976451895</v>
      </c>
      <c r="Q9" s="18"/>
    </row>
    <row r="10" spans="1:17" ht="15">
      <c r="A10" s="20"/>
      <c r="B10" s="28" t="s">
        <v>37</v>
      </c>
      <c r="C10" s="35">
        <f>1.25*892</f>
        <v>1115</v>
      </c>
      <c r="D10" s="36">
        <f t="shared" si="0"/>
        <v>1.675269639531555</v>
      </c>
      <c r="E10" s="35">
        <f>1.25*646.4</f>
        <v>808</v>
      </c>
      <c r="F10" s="36">
        <f t="shared" si="1"/>
        <v>1.0620197170269494</v>
      </c>
      <c r="G10" s="35">
        <f>1.25*10049.2</f>
        <v>12561.5</v>
      </c>
      <c r="H10" s="36">
        <f t="shared" si="2"/>
        <v>14.814782054258849</v>
      </c>
      <c r="I10" s="35">
        <f>1.25*23296.8</f>
        <v>29121</v>
      </c>
      <c r="J10" s="36">
        <f t="shared" si="3"/>
        <v>28.828020824362007</v>
      </c>
      <c r="K10" s="35">
        <f>1.25*37639.2</f>
        <v>47049</v>
      </c>
      <c r="L10" s="36">
        <f t="shared" si="4"/>
        <v>36.11215768875743</v>
      </c>
      <c r="M10" s="35">
        <f>1.25*45696</f>
        <v>57120</v>
      </c>
      <c r="N10" s="36">
        <f t="shared" si="5"/>
        <v>37.60019642679646</v>
      </c>
      <c r="O10" s="35">
        <f>1.25*50279.2</f>
        <v>62849</v>
      </c>
      <c r="P10" s="36">
        <f t="shared" si="6"/>
        <v>38.232365231049435</v>
      </c>
      <c r="Q10" s="18"/>
    </row>
    <row r="11" spans="1:17" ht="15">
      <c r="A11" s="20"/>
      <c r="B11" s="28" t="s">
        <v>38</v>
      </c>
      <c r="C11" s="35">
        <f>1.25*8187.12</f>
        <v>10233.9</v>
      </c>
      <c r="D11" s="36">
        <f t="shared" si="0"/>
        <v>15.376270819732717</v>
      </c>
      <c r="E11" s="35">
        <f>1.25*6276.2</f>
        <v>7845.25</v>
      </c>
      <c r="F11" s="36">
        <f t="shared" si="1"/>
        <v>10.31164626857138</v>
      </c>
      <c r="G11" s="35">
        <f>1.25*8145.5</f>
        <v>10181.875</v>
      </c>
      <c r="H11" s="36">
        <f t="shared" si="2"/>
        <v>12.008299886853226</v>
      </c>
      <c r="I11" s="35">
        <f>1.25*6516.32</f>
        <v>8145.4</v>
      </c>
      <c r="J11" s="36">
        <f t="shared" si="3"/>
        <v>8.06345114600317</v>
      </c>
      <c r="K11" s="35">
        <f>1.25*9618.8</f>
        <v>12023.5</v>
      </c>
      <c r="L11" s="36">
        <f t="shared" si="4"/>
        <v>9.228560181316817</v>
      </c>
      <c r="M11" s="35">
        <f>1.25*10400.48</f>
        <v>13000.599999999999</v>
      </c>
      <c r="N11" s="36">
        <f t="shared" si="5"/>
        <v>8.55786263421236</v>
      </c>
      <c r="O11" s="35">
        <f>1.25*12392.96</f>
        <v>15491.199999999999</v>
      </c>
      <c r="P11" s="36">
        <f t="shared" si="6"/>
        <v>9.42362195527746</v>
      </c>
      <c r="Q11" s="18"/>
    </row>
    <row r="12" spans="1:17" ht="15">
      <c r="A12" s="20"/>
      <c r="B12" s="28" t="s">
        <v>39</v>
      </c>
      <c r="C12" s="35">
        <f>1.25*3582.88-C13</f>
        <v>3366.6000000000004</v>
      </c>
      <c r="D12" s="36">
        <f t="shared" si="0"/>
        <v>5.058262572598146</v>
      </c>
      <c r="E12" s="35">
        <f>1.25*3356.68-E13</f>
        <v>3236.7499999999995</v>
      </c>
      <c r="F12" s="36">
        <f t="shared" si="1"/>
        <v>4.254322177087844</v>
      </c>
      <c r="G12" s="35">
        <f>5107.31*1.25-G13</f>
        <v>5140.300000000001</v>
      </c>
      <c r="H12" s="36">
        <f t="shared" si="2"/>
        <v>6.062367089400691</v>
      </c>
      <c r="I12" s="35">
        <f>4407.28*1.25-I13</f>
        <v>4966.999999999999</v>
      </c>
      <c r="J12" s="36">
        <f t="shared" si="3"/>
        <v>4.917028241976789</v>
      </c>
      <c r="K12" s="35">
        <f>4280.08*1.25-K13</f>
        <v>4669</v>
      </c>
      <c r="L12" s="36">
        <f t="shared" si="4"/>
        <v>3.5836609545114335</v>
      </c>
      <c r="M12" s="35">
        <f>5028*1.25-M13</f>
        <v>5520.5</v>
      </c>
      <c r="N12" s="36">
        <f t="shared" si="5"/>
        <v>3.633961561171741</v>
      </c>
      <c r="O12" s="35">
        <f>1.25*5662.4-O13</f>
        <v>5340.5</v>
      </c>
      <c r="P12" s="36">
        <f t="shared" si="6"/>
        <v>3.2487381902085875</v>
      </c>
      <c r="Q12" s="18"/>
    </row>
    <row r="13" spans="1:17" ht="15">
      <c r="A13" s="20"/>
      <c r="B13" s="28" t="s">
        <v>40</v>
      </c>
      <c r="C13" s="35">
        <f>1.25*889.6</f>
        <v>1112</v>
      </c>
      <c r="D13" s="36">
        <f t="shared" si="0"/>
        <v>1.670762187586627</v>
      </c>
      <c r="E13" s="35">
        <f>1.25*767.28</f>
        <v>959.0999999999999</v>
      </c>
      <c r="F13" s="36">
        <f t="shared" si="1"/>
        <v>1.2606226616343406</v>
      </c>
      <c r="G13" s="35">
        <f>1.25*995.07</f>
        <v>1243.8375</v>
      </c>
      <c r="H13" s="36">
        <f t="shared" si="2"/>
        <v>1.4669570889952785</v>
      </c>
      <c r="I13" s="35">
        <f>1.25*433.68</f>
        <v>542.1</v>
      </c>
      <c r="J13" s="36">
        <f t="shared" si="3"/>
        <v>0.5366460660309277</v>
      </c>
      <c r="K13" s="35">
        <f>1.25*544.88</f>
        <v>681.1</v>
      </c>
      <c r="L13" s="36">
        <f t="shared" si="4"/>
        <v>0.5227739293462705</v>
      </c>
      <c r="M13" s="35">
        <f>1.25*611.6</f>
        <v>764.5</v>
      </c>
      <c r="N13" s="36">
        <f t="shared" si="5"/>
        <v>0.5032449259153692</v>
      </c>
      <c r="O13" s="35">
        <f>1.25*1390</f>
        <v>1737.5</v>
      </c>
      <c r="P13" s="36">
        <f t="shared" si="6"/>
        <v>1.056957701617343</v>
      </c>
      <c r="Q13" s="18"/>
    </row>
    <row r="14" spans="1:17" ht="15">
      <c r="A14" s="20"/>
      <c r="B14" s="28" t="s">
        <v>41</v>
      </c>
      <c r="C14" s="35">
        <f>1.25*3941.68</f>
        <v>4927.099999999999</v>
      </c>
      <c r="D14" s="36">
        <f t="shared" si="0"/>
        <v>7.402888825951501</v>
      </c>
      <c r="E14" s="35">
        <f>1.25*3494.4</f>
        <v>4368</v>
      </c>
      <c r="F14" s="36">
        <f t="shared" si="1"/>
        <v>5.74121549996747</v>
      </c>
      <c r="G14" s="35">
        <f>1.25*5922.08</f>
        <v>7402.6</v>
      </c>
      <c r="H14" s="36">
        <f t="shared" si="2"/>
        <v>8.730478496585324</v>
      </c>
      <c r="I14" s="35">
        <f>1.25*3501.2</f>
        <v>4376.5</v>
      </c>
      <c r="J14" s="36">
        <f t="shared" si="3"/>
        <v>4.332469116370328</v>
      </c>
      <c r="K14" s="35">
        <f>1.25*3711.2</f>
        <v>4639</v>
      </c>
      <c r="L14" s="36">
        <f t="shared" si="4"/>
        <v>3.560634647243208</v>
      </c>
      <c r="M14" s="35">
        <f>1.25*5137.2</f>
        <v>6421.5</v>
      </c>
      <c r="N14" s="36">
        <f t="shared" si="5"/>
        <v>4.2270598976658516</v>
      </c>
      <c r="O14" s="35">
        <f>1.25*4460.8</f>
        <v>5576</v>
      </c>
      <c r="P14" s="36">
        <f t="shared" si="6"/>
        <v>3.3919977808450676</v>
      </c>
      <c r="Q14" s="18"/>
    </row>
    <row r="15" spans="1:17" ht="15">
      <c r="A15" s="20"/>
      <c r="B15" s="28" t="s">
        <v>42</v>
      </c>
      <c r="C15" s="35">
        <f>1.25*2994</f>
        <v>3742.5</v>
      </c>
      <c r="D15" s="36">
        <f>100*C15/C$26</f>
        <v>7.0288078766220226</v>
      </c>
      <c r="E15" s="35">
        <f>1.25*4652.12</f>
        <v>5815.15</v>
      </c>
      <c r="F15" s="36">
        <f>100*E15/E$26</f>
        <v>9.554152161926462</v>
      </c>
      <c r="G15" s="35">
        <f>1.25*3101.08</f>
        <v>3876.35</v>
      </c>
      <c r="H15" s="36">
        <f>100*G15/G$26</f>
        <v>5.714612149825488</v>
      </c>
      <c r="I15" s="35">
        <f>1.25*2671.2</f>
        <v>3339</v>
      </c>
      <c r="J15" s="36">
        <f>100*I15/I$26</f>
        <v>4.131758933954223</v>
      </c>
      <c r="K15" s="35">
        <f>1.25*3730.8</f>
        <v>4663.5</v>
      </c>
      <c r="L15" s="36">
        <f>100*K15/K$26</f>
        <v>4.47429933105699</v>
      </c>
      <c r="M15" s="35">
        <f>1.25*3395.2</f>
        <v>4244</v>
      </c>
      <c r="N15" s="36">
        <f>100*M15/M$26</f>
        <v>3.4921050778038376</v>
      </c>
      <c r="O15" s="35">
        <f>1.25*5062.4</f>
        <v>6328</v>
      </c>
      <c r="P15" s="36">
        <f>100*O15/O$26</f>
        <v>4.811818946643559</v>
      </c>
      <c r="Q15" s="18"/>
    </row>
    <row r="16" spans="1:17" ht="15">
      <c r="A16" s="20"/>
      <c r="B16" s="28" t="s">
        <v>43</v>
      </c>
      <c r="C16" s="35">
        <f>1.25*2406.4</f>
        <v>3008</v>
      </c>
      <c r="D16" s="36">
        <f aca="true" t="shared" si="7" ref="D16:D24">80*C16/C$26</f>
        <v>4.519471816781092</v>
      </c>
      <c r="E16" s="35">
        <f>1.25*1975.2</f>
        <v>2469</v>
      </c>
      <c r="F16" s="36">
        <f aca="true" t="shared" si="8" ref="F16:F24">80*E16/E$26</f>
        <v>3.2452062887865574</v>
      </c>
      <c r="G16" s="35">
        <f>1.25*1600.8</f>
        <v>2001</v>
      </c>
      <c r="H16" s="36">
        <f aca="true" t="shared" si="9" ref="H16:H24">80*G16/G$26</f>
        <v>2.359939409351746</v>
      </c>
      <c r="I16" s="35">
        <f>1.25*2208.8</f>
        <v>2761</v>
      </c>
      <c r="J16" s="36">
        <f aca="true" t="shared" si="10" ref="J16:J24">80*I16/I$26</f>
        <v>2.7332222621497717</v>
      </c>
      <c r="K16" s="35">
        <f>1.25*3528.8</f>
        <v>4411</v>
      </c>
      <c r="L16" s="36">
        <f aca="true" t="shared" si="11" ref="L16:L24">80*K16/K$26</f>
        <v>3.3856347120046975</v>
      </c>
      <c r="M16" s="35">
        <f>1.25*2045.28</f>
        <v>2556.6</v>
      </c>
      <c r="N16" s="36">
        <f aca="true" t="shared" si="12" ref="N16:N24">80*M16/M$26</f>
        <v>1.6829247581363413</v>
      </c>
      <c r="O16" s="35">
        <f>1.25*2108</f>
        <v>2635</v>
      </c>
      <c r="P16" s="36">
        <f aca="true" t="shared" si="13" ref="P16:P24">80*O16/O$26</f>
        <v>1.6029257805822728</v>
      </c>
      <c r="Q16" s="18"/>
    </row>
    <row r="17" spans="1:17" ht="15">
      <c r="A17" s="20"/>
      <c r="B17" s="28" t="s">
        <v>44</v>
      </c>
      <c r="C17" s="35">
        <f>1.25*2144.8</f>
        <v>2681</v>
      </c>
      <c r="D17" s="36">
        <f t="shared" si="7"/>
        <v>4.0281595547839455</v>
      </c>
      <c r="E17" s="35">
        <f>1.25*3548</f>
        <v>4435</v>
      </c>
      <c r="F17" s="36">
        <f t="shared" si="8"/>
        <v>5.829279016107081</v>
      </c>
      <c r="G17" s="35">
        <f>1.25*3670</f>
        <v>4587.5</v>
      </c>
      <c r="H17" s="36">
        <f t="shared" si="9"/>
        <v>5.410405817291921</v>
      </c>
      <c r="I17" s="35">
        <f>1.25*3851.2</f>
        <v>4814</v>
      </c>
      <c r="J17" s="36">
        <f t="shared" si="10"/>
        <v>4.765567537120247</v>
      </c>
      <c r="K17" s="35">
        <f>1.25*4272.08</f>
        <v>5340.1</v>
      </c>
      <c r="L17" s="36">
        <f t="shared" si="11"/>
        <v>4.098759448101629</v>
      </c>
      <c r="M17" s="35">
        <f>1.25*3238.4</f>
        <v>4048</v>
      </c>
      <c r="N17" s="36">
        <f t="shared" si="12"/>
        <v>2.6646637803864155</v>
      </c>
      <c r="O17" s="35">
        <f>1.25*2474.4</f>
        <v>3093</v>
      </c>
      <c r="P17" s="36">
        <f t="shared" si="13"/>
        <v>1.8815367891237076</v>
      </c>
      <c r="Q17" s="18"/>
    </row>
    <row r="18" spans="1:17" ht="15">
      <c r="A18" s="20"/>
      <c r="B18" s="28" t="s">
        <v>45</v>
      </c>
      <c r="C18" s="35">
        <f>1.25*2097.04</f>
        <v>2621.3</v>
      </c>
      <c r="D18" s="36">
        <f t="shared" si="7"/>
        <v>3.938461261079879</v>
      </c>
      <c r="E18" s="35">
        <f>1.25*2049.64</f>
        <v>2562.0499999999997</v>
      </c>
      <c r="F18" s="36">
        <f t="shared" si="8"/>
        <v>3.3675094257535836</v>
      </c>
      <c r="G18" s="35">
        <f>1.25*850.4</f>
        <v>1063</v>
      </c>
      <c r="H18" s="36">
        <f t="shared" si="9"/>
        <v>1.2536809555926567</v>
      </c>
      <c r="I18" s="35">
        <f>1.25*1874.8</f>
        <v>2343.5</v>
      </c>
      <c r="J18" s="36">
        <f t="shared" si="10"/>
        <v>2.3199226263484207</v>
      </c>
      <c r="K18" s="35">
        <f>1.25*2846.4</f>
        <v>3558</v>
      </c>
      <c r="L18" s="36">
        <f t="shared" si="11"/>
        <v>2.730920042011497</v>
      </c>
      <c r="M18" s="35">
        <f>1.25*2306.8</f>
        <v>2883.5</v>
      </c>
      <c r="N18" s="36">
        <f t="shared" si="12"/>
        <v>1.8981121568044044</v>
      </c>
      <c r="O18" s="35">
        <f>1.25*1896.16</f>
        <v>2370.2000000000003</v>
      </c>
      <c r="P18" s="36">
        <f t="shared" si="13"/>
        <v>1.4418423852508933</v>
      </c>
      <c r="Q18" s="18"/>
    </row>
    <row r="19" spans="1:17" ht="15">
      <c r="A19" s="20"/>
      <c r="B19" s="28" t="s">
        <v>46</v>
      </c>
      <c r="C19" s="35">
        <f>1.25*2086.4</f>
        <v>2608</v>
      </c>
      <c r="D19" s="36">
        <f t="shared" si="7"/>
        <v>3.9184782241240317</v>
      </c>
      <c r="E19" s="35">
        <f>1.25*2405.12</f>
        <v>3006.3999999999996</v>
      </c>
      <c r="F19" s="36">
        <f t="shared" si="8"/>
        <v>3.9515545510765104</v>
      </c>
      <c r="G19" s="35">
        <f>1.25*1716.8</f>
        <v>2146</v>
      </c>
      <c r="H19" s="36">
        <f t="shared" si="9"/>
        <v>2.530949511478684</v>
      </c>
      <c r="I19" s="35">
        <f>1.25*2594.24</f>
        <v>3242.7999999999997</v>
      </c>
      <c r="J19" s="36">
        <f t="shared" si="10"/>
        <v>3.210174991560767</v>
      </c>
      <c r="K19" s="35">
        <f>1.25*2756.21</f>
        <v>3445.2625</v>
      </c>
      <c r="L19" s="36">
        <f t="shared" si="11"/>
        <v>2.6443890981564464</v>
      </c>
      <c r="M19" s="35">
        <f>1.25*3139.04</f>
        <v>3923.8</v>
      </c>
      <c r="N19" s="36">
        <f t="shared" si="12"/>
        <v>2.582907050760923</v>
      </c>
      <c r="O19" s="35">
        <f>1.25*1893.6</f>
        <v>2367</v>
      </c>
      <c r="P19" s="36">
        <f t="shared" si="13"/>
        <v>1.4398957581169791</v>
      </c>
      <c r="Q19" s="18"/>
    </row>
    <row r="20" spans="1:17" ht="15">
      <c r="A20" s="20"/>
      <c r="B20" s="28" t="s">
        <v>47</v>
      </c>
      <c r="C20" s="35">
        <f>1.25*286.8</f>
        <v>358.5</v>
      </c>
      <c r="D20" s="36">
        <f t="shared" si="7"/>
        <v>0.5386405074188901</v>
      </c>
      <c r="E20" s="35">
        <f>1.25*132</f>
        <v>165</v>
      </c>
      <c r="F20" s="36">
        <f t="shared" si="8"/>
        <v>0.21687283825426568</v>
      </c>
      <c r="G20" s="35">
        <f>1.25*173.6</f>
        <v>217</v>
      </c>
      <c r="H20" s="36">
        <f t="shared" si="9"/>
        <v>0.2559254631830729</v>
      </c>
      <c r="I20" s="35">
        <f>1.25*0</f>
        <v>0</v>
      </c>
      <c r="J20" s="36">
        <f t="shared" si="10"/>
        <v>0</v>
      </c>
      <c r="K20" s="35">
        <v>0</v>
      </c>
      <c r="L20" s="36">
        <f t="shared" si="11"/>
        <v>0</v>
      </c>
      <c r="M20" s="35">
        <f>1.25*156.8</f>
        <v>196</v>
      </c>
      <c r="N20" s="36">
        <f t="shared" si="12"/>
        <v>0.1290202818566545</v>
      </c>
      <c r="O20" s="35">
        <f>1.25*0</f>
        <v>0</v>
      </c>
      <c r="P20" s="36">
        <f t="shared" si="13"/>
        <v>0</v>
      </c>
      <c r="Q20" s="18"/>
    </row>
    <row r="21" spans="1:17" ht="15">
      <c r="A21" s="20"/>
      <c r="B21" s="28" t="s">
        <v>48</v>
      </c>
      <c r="C21" s="35">
        <v>114</v>
      </c>
      <c r="D21" s="36">
        <f t="shared" si="7"/>
        <v>0.1712831739072621</v>
      </c>
      <c r="E21" s="35">
        <v>236</v>
      </c>
      <c r="F21" s="36">
        <f t="shared" si="8"/>
        <v>0.3101938777454951</v>
      </c>
      <c r="G21" s="35">
        <v>63</v>
      </c>
      <c r="H21" s="36">
        <f t="shared" si="9"/>
        <v>0.07430094092411793</v>
      </c>
      <c r="I21" s="35">
        <v>470</v>
      </c>
      <c r="J21" s="36">
        <f t="shared" si="10"/>
        <v>0.46527144629134104</v>
      </c>
      <c r="K21" s="35">
        <v>404</v>
      </c>
      <c r="L21" s="36">
        <f t="shared" si="11"/>
        <v>0.3100876045454314</v>
      </c>
      <c r="M21" s="35">
        <v>170</v>
      </c>
      <c r="N21" s="36">
        <f t="shared" si="12"/>
        <v>0.11190534650832279</v>
      </c>
      <c r="O21" s="35">
        <v>310</v>
      </c>
      <c r="P21" s="36">
        <f t="shared" si="13"/>
        <v>0.18857950359791445</v>
      </c>
      <c r="Q21" s="18"/>
    </row>
    <row r="22" spans="1:17" ht="15">
      <c r="A22" s="20"/>
      <c r="B22" s="28" t="s">
        <v>60</v>
      </c>
      <c r="C22" s="35">
        <f>1.25*2595.2</f>
        <v>3244</v>
      </c>
      <c r="D22" s="36">
        <f t="shared" si="7"/>
        <v>4.874058036448758</v>
      </c>
      <c r="E22" s="35">
        <f>1.25*2173.2</f>
        <v>2716.5</v>
      </c>
      <c r="F22" s="36">
        <f t="shared" si="8"/>
        <v>3.5705155461679556</v>
      </c>
      <c r="G22" s="35">
        <f>1.25*3087.2</f>
        <v>3859</v>
      </c>
      <c r="H22" s="36">
        <f t="shared" si="9"/>
        <v>4.551227476605891</v>
      </c>
      <c r="I22" s="35">
        <f>1.25*2057.52</f>
        <v>2571.9</v>
      </c>
      <c r="J22" s="36">
        <f t="shared" si="10"/>
        <v>2.546024750461064</v>
      </c>
      <c r="K22" s="35">
        <f>1.25*2268.8</f>
        <v>2836</v>
      </c>
      <c r="L22" s="36">
        <f t="shared" si="11"/>
        <v>2.1767535804228797</v>
      </c>
      <c r="M22" s="35">
        <f>1.25*3430.8</f>
        <v>4288.5</v>
      </c>
      <c r="N22" s="36">
        <f t="shared" si="12"/>
        <v>2.822976932358484</v>
      </c>
      <c r="O22" s="35">
        <f>1.25*2454</f>
        <v>3067.5</v>
      </c>
      <c r="P22" s="36">
        <f t="shared" si="13"/>
        <v>1.8660246041503308</v>
      </c>
      <c r="Q22" s="18"/>
    </row>
    <row r="23" spans="1:17" ht="15">
      <c r="A23" s="20"/>
      <c r="B23" s="28" t="s">
        <v>49</v>
      </c>
      <c r="C23" s="35">
        <f>1.25*929.6</f>
        <v>1162</v>
      </c>
      <c r="D23" s="36">
        <f t="shared" si="7"/>
        <v>1.7458863866687595</v>
      </c>
      <c r="E23" s="35">
        <f>1.25*(1355.2)</f>
        <v>1694</v>
      </c>
      <c r="F23" s="36">
        <f t="shared" si="8"/>
        <v>2.2265611394104607</v>
      </c>
      <c r="G23" s="35">
        <f>1.25*971.2</f>
        <v>1214</v>
      </c>
      <c r="H23" s="36">
        <f t="shared" si="9"/>
        <v>1.431767337807606</v>
      </c>
      <c r="I23" s="35">
        <f>1.25*2964.8</f>
        <v>3706</v>
      </c>
      <c r="J23" s="36">
        <f t="shared" si="10"/>
        <v>3.6687148509695957</v>
      </c>
      <c r="K23" s="35">
        <f>1.25*4719.68</f>
        <v>5899.6</v>
      </c>
      <c r="L23" s="36">
        <f t="shared" si="11"/>
        <v>4.528200078654027</v>
      </c>
      <c r="M23" s="35">
        <f>1.25*4796.88</f>
        <v>5996.1</v>
      </c>
      <c r="N23" s="36">
        <f t="shared" si="12"/>
        <v>3.947033224697378</v>
      </c>
      <c r="O23" s="35">
        <f>1.25*11619.28</f>
        <v>14524.1</v>
      </c>
      <c r="P23" s="36">
        <f t="shared" si="13"/>
        <v>8.8353147361499</v>
      </c>
      <c r="Q23" s="18"/>
    </row>
    <row r="24" spans="1:17" ht="15.75" thickBot="1">
      <c r="A24" s="20"/>
      <c r="B24" s="28" t="s">
        <v>50</v>
      </c>
      <c r="C24" s="35">
        <f>1.25*79.2</f>
        <v>99</v>
      </c>
      <c r="D24" s="36">
        <f t="shared" si="7"/>
        <v>0.14874591418262237</v>
      </c>
      <c r="E24" s="35">
        <f>1.25*61.2</f>
        <v>76.5</v>
      </c>
      <c r="F24" s="36">
        <f t="shared" si="8"/>
        <v>0.100550134099705</v>
      </c>
      <c r="G24" s="35">
        <f>1.25*51.6</f>
        <v>64.5</v>
      </c>
      <c r="H24" s="36">
        <f t="shared" si="9"/>
        <v>0.07607001094612074</v>
      </c>
      <c r="I24" s="35">
        <f>1.25*98.8</f>
        <v>123.5</v>
      </c>
      <c r="J24" s="36">
        <f t="shared" si="10"/>
        <v>0.12225749705740557</v>
      </c>
      <c r="K24" s="35">
        <f>1.25*101.2</f>
        <v>126.5</v>
      </c>
      <c r="L24" s="36">
        <f t="shared" si="11"/>
        <v>0.09709426231434919</v>
      </c>
      <c r="M24" s="35">
        <f>1.25*108</f>
        <v>135</v>
      </c>
      <c r="N24" s="36">
        <f t="shared" si="12"/>
        <v>0.08886601046249162</v>
      </c>
      <c r="O24" s="35">
        <f>1.25*77.2</f>
        <v>96.5</v>
      </c>
      <c r="P24" s="36">
        <f t="shared" si="13"/>
        <v>0.05870297450709272</v>
      </c>
      <c r="Q24" s="18"/>
    </row>
    <row r="25" spans="1:17" ht="16.5" thickBot="1" thickTop="1">
      <c r="A25" s="20"/>
      <c r="B25" s="27" t="s">
        <v>9</v>
      </c>
      <c r="C25" s="33">
        <f>SUM(C4:C24)</f>
        <v>66527.95000000001</v>
      </c>
      <c r="D25" s="34"/>
      <c r="E25" s="33">
        <f>SUM(E4:E24)</f>
        <v>76022.45</v>
      </c>
      <c r="F25" s="34"/>
      <c r="G25" s="33">
        <f>SUM(G4:G24)</f>
        <v>84774.56250000001</v>
      </c>
      <c r="H25" s="34"/>
      <c r="I25" s="33">
        <f>SUM(I4:I24)</f>
        <v>100898.8</v>
      </c>
      <c r="J25" s="34"/>
      <c r="K25" s="33">
        <f>SUM(K4:K24)</f>
        <v>130184.76250000001</v>
      </c>
      <c r="L25" s="34"/>
      <c r="M25" s="33">
        <f>SUM(M4:M24)</f>
        <v>151871.6</v>
      </c>
      <c r="N25" s="34"/>
      <c r="O25" s="33">
        <f>SUM(O4:O24)</f>
        <v>164309.4</v>
      </c>
      <c r="P25" s="34"/>
      <c r="Q25" s="18"/>
    </row>
    <row r="26" spans="1:17" ht="16.5" thickBot="1" thickTop="1">
      <c r="A26" s="20"/>
      <c r="B26" s="27" t="s">
        <v>10</v>
      </c>
      <c r="C26" s="33">
        <f>C25*0.8+C21*0.2</f>
        <v>53245.16000000002</v>
      </c>
      <c r="D26" s="34"/>
      <c r="E26" s="33">
        <f>E25*0.8+E21*0.2</f>
        <v>60865.159999999996</v>
      </c>
      <c r="F26" s="34"/>
      <c r="G26" s="33">
        <f>G25*0.8+G21*0.2</f>
        <v>67832.25000000001</v>
      </c>
      <c r="H26" s="34"/>
      <c r="I26" s="33">
        <f>I25*0.8+I21*0.2</f>
        <v>80813.04000000001</v>
      </c>
      <c r="J26" s="34"/>
      <c r="K26" s="33">
        <f>K25*0.8+K21*0.2</f>
        <v>104228.61000000002</v>
      </c>
      <c r="L26" s="34"/>
      <c r="M26" s="33">
        <f>M25*0.8+M21*0.2</f>
        <v>121531.28000000001</v>
      </c>
      <c r="N26" s="34"/>
      <c r="O26" s="33">
        <f>O25*0.8+O21*0.2</f>
        <v>131509.52</v>
      </c>
      <c r="P26" s="34"/>
      <c r="Q26" s="18"/>
    </row>
    <row r="27" spans="1:17" ht="16.5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6.5" thickBot="1" thickTop="1">
      <c r="A28" s="32"/>
      <c r="B28" s="27" t="s">
        <v>11</v>
      </c>
      <c r="C28" s="38"/>
      <c r="D28" s="5">
        <v>26</v>
      </c>
      <c r="E28" s="38"/>
      <c r="F28" s="5">
        <v>24</v>
      </c>
      <c r="G28" s="38"/>
      <c r="H28" s="5">
        <v>25</v>
      </c>
      <c r="I28" s="38"/>
      <c r="J28" s="5">
        <v>23</v>
      </c>
      <c r="K28" s="38"/>
      <c r="L28" s="5">
        <v>25</v>
      </c>
      <c r="M28" s="38"/>
      <c r="N28" s="5">
        <v>25</v>
      </c>
      <c r="O28" s="38"/>
      <c r="P28" s="5">
        <v>26</v>
      </c>
      <c r="Q28" s="57"/>
    </row>
    <row r="29" spans="1:17" ht="16.5" thickBot="1" thickTop="1">
      <c r="A29" s="20"/>
      <c r="B29" s="27" t="s">
        <v>12</v>
      </c>
      <c r="C29" s="38">
        <f>C25/D28</f>
        <v>2558.7673076923083</v>
      </c>
      <c r="D29" s="37"/>
      <c r="E29" s="38">
        <f>E25/F28</f>
        <v>3167.602083333333</v>
      </c>
      <c r="F29" s="37"/>
      <c r="G29" s="38">
        <f>G25/H28</f>
        <v>3390.9825000000005</v>
      </c>
      <c r="H29" s="37"/>
      <c r="I29" s="38">
        <f>I25/J28</f>
        <v>4386.904347826087</v>
      </c>
      <c r="J29" s="37"/>
      <c r="K29" s="38">
        <f>K25/L28</f>
        <v>5207.3905</v>
      </c>
      <c r="L29" s="37"/>
      <c r="M29" s="38">
        <f>M25/N28</f>
        <v>6074.8640000000005</v>
      </c>
      <c r="N29" s="37"/>
      <c r="O29" s="38">
        <f>O25/P28</f>
        <v>6319.592307692307</v>
      </c>
      <c r="P29" s="37"/>
      <c r="Q29" s="19"/>
    </row>
    <row r="30" spans="1:17" ht="16.5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6.5" thickBot="1" thickTop="1">
      <c r="A31" s="32"/>
      <c r="B31" s="27" t="s">
        <v>68</v>
      </c>
      <c r="C31" s="38">
        <v>2767</v>
      </c>
      <c r="D31" s="37"/>
      <c r="E31" s="38">
        <v>2808</v>
      </c>
      <c r="F31" s="37"/>
      <c r="G31" s="38">
        <v>3304</v>
      </c>
      <c r="H31" s="37"/>
      <c r="I31" s="38">
        <v>4035</v>
      </c>
      <c r="J31" s="37"/>
      <c r="K31" s="38">
        <v>4671</v>
      </c>
      <c r="L31" s="37"/>
      <c r="M31" s="38">
        <v>5175</v>
      </c>
      <c r="N31" s="37"/>
      <c r="O31" s="38">
        <v>4689</v>
      </c>
      <c r="P31" s="37"/>
      <c r="Q31" s="56"/>
    </row>
    <row r="32" spans="1:17" ht="16.5" thickBot="1" thickTop="1">
      <c r="A32" s="32"/>
      <c r="B32" s="52" t="s">
        <v>64</v>
      </c>
      <c r="C32" s="53">
        <v>2320</v>
      </c>
      <c r="D32" s="54"/>
      <c r="E32" s="53">
        <v>2800</v>
      </c>
      <c r="F32" s="54"/>
      <c r="G32" s="53">
        <v>3317</v>
      </c>
      <c r="H32" s="54"/>
      <c r="I32" s="53">
        <v>3446</v>
      </c>
      <c r="J32" s="54"/>
      <c r="K32" s="53">
        <v>3866</v>
      </c>
      <c r="L32" s="54"/>
      <c r="M32" s="53">
        <v>4686</v>
      </c>
      <c r="N32" s="54"/>
      <c r="O32" s="53">
        <v>4024</v>
      </c>
      <c r="P32" s="55"/>
      <c r="Q32" s="56"/>
    </row>
    <row r="33" spans="1:17" ht="16.5" thickBot="1" thickTop="1">
      <c r="A33" s="20"/>
      <c r="B33" s="26"/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9"/>
      <c r="P33" s="32"/>
      <c r="Q33" s="20"/>
    </row>
    <row r="34" spans="1:17" ht="16.5" thickBot="1" thickTop="1">
      <c r="A34" s="20"/>
      <c r="B34" s="27" t="s">
        <v>0</v>
      </c>
      <c r="C34" s="49" t="s">
        <v>13</v>
      </c>
      <c r="D34" s="47" t="s">
        <v>2</v>
      </c>
      <c r="E34" s="49" t="s">
        <v>14</v>
      </c>
      <c r="F34" s="47" t="s">
        <v>2</v>
      </c>
      <c r="G34" s="49" t="s">
        <v>15</v>
      </c>
      <c r="H34" s="47" t="s">
        <v>2</v>
      </c>
      <c r="I34" s="49" t="s">
        <v>16</v>
      </c>
      <c r="J34" s="47" t="s">
        <v>2</v>
      </c>
      <c r="K34" s="49" t="s">
        <v>17</v>
      </c>
      <c r="L34" s="47" t="s">
        <v>2</v>
      </c>
      <c r="M34" s="49" t="s">
        <v>18</v>
      </c>
      <c r="N34" s="48"/>
      <c r="O34" s="50" t="s">
        <v>19</v>
      </c>
      <c r="P34" s="47" t="s">
        <v>2</v>
      </c>
      <c r="Q34" s="18"/>
    </row>
    <row r="35" spans="1:17" ht="15.75" thickTop="1">
      <c r="A35" s="20"/>
      <c r="B35" s="27" t="s">
        <v>31</v>
      </c>
      <c r="C35" s="33">
        <f>1.25*3783.6</f>
        <v>4729.5</v>
      </c>
      <c r="D35" s="34">
        <f aca="true" t="shared" si="14" ref="D35:D45">80*C35/C$57</f>
        <v>3.5210258361180045</v>
      </c>
      <c r="E35" s="33">
        <f>1.25*4836.16</f>
        <v>6045.2</v>
      </c>
      <c r="F35" s="34">
        <f aca="true" t="shared" si="15" ref="F35:F45">80*E35/E$57</f>
        <v>5.062496100667063</v>
      </c>
      <c r="G35" s="33">
        <f>1.25*2682.08</f>
        <v>3352.6</v>
      </c>
      <c r="H35" s="34">
        <f aca="true" t="shared" si="16" ref="H35:H45">80*G35/G$57</f>
        <v>3.0394762012259076</v>
      </c>
      <c r="I35" s="33">
        <f>1.25*4403.28</f>
        <v>5504.099999999999</v>
      </c>
      <c r="J35" s="34">
        <f aca="true" t="shared" si="17" ref="J35:J45">80*I35/I$57</f>
        <v>3.95377954775158</v>
      </c>
      <c r="K35" s="33">
        <f>1.25*9765.6</f>
        <v>12207</v>
      </c>
      <c r="L35" s="34">
        <f aca="true" t="shared" si="18" ref="L35:L45">80*K35/K$57</f>
        <v>3.7665980479536953</v>
      </c>
      <c r="M35" s="33"/>
      <c r="N35" s="40"/>
      <c r="O35" s="38">
        <f aca="true" t="shared" si="19" ref="O35:O55">C4+E4+G4+I4+K4+M4+O4+C35+E35+G35+I35+K35+M35</f>
        <v>62561.59999999999</v>
      </c>
      <c r="P35" s="34">
        <f aca="true" t="shared" si="20" ref="P35:P45">O35*80/$O$57</f>
        <v>3.9043339697840285</v>
      </c>
      <c r="Q35" s="18"/>
    </row>
    <row r="36" spans="1:17" ht="15">
      <c r="A36" s="20"/>
      <c r="B36" s="28" t="s">
        <v>32</v>
      </c>
      <c r="C36" s="35">
        <f>1.25*7489.6</f>
        <v>9362</v>
      </c>
      <c r="D36" s="36">
        <f t="shared" si="14"/>
        <v>6.969836954802148</v>
      </c>
      <c r="E36" s="35">
        <f>1.25*3442.8</f>
        <v>4303.5</v>
      </c>
      <c r="F36" s="36">
        <f t="shared" si="15"/>
        <v>3.6039257541885634</v>
      </c>
      <c r="G36" s="35">
        <f>1.25*4446</f>
        <v>5557.5</v>
      </c>
      <c r="H36" s="36">
        <f t="shared" si="16"/>
        <v>5.038444487356971</v>
      </c>
      <c r="I36" s="35">
        <f>1.25*4036.88</f>
        <v>5046.1</v>
      </c>
      <c r="J36" s="36">
        <f t="shared" si="17"/>
        <v>3.624782793900774</v>
      </c>
      <c r="K36" s="35">
        <f>1.25*9695.6</f>
        <v>12119.5</v>
      </c>
      <c r="L36" s="36">
        <f t="shared" si="18"/>
        <v>3.7395990040284106</v>
      </c>
      <c r="M36" s="35"/>
      <c r="N36" s="41"/>
      <c r="O36" s="42">
        <f t="shared" si="19"/>
        <v>86415.8</v>
      </c>
      <c r="P36" s="36">
        <f t="shared" si="20"/>
        <v>5.393022932055169</v>
      </c>
      <c r="Q36" s="18"/>
    </row>
    <row r="37" spans="1:17" ht="15">
      <c r="A37" s="20"/>
      <c r="B37" s="28" t="s">
        <v>33</v>
      </c>
      <c r="C37" s="35">
        <f>1.25*5011.28</f>
        <v>6264.099999999999</v>
      </c>
      <c r="D37" s="36">
        <f t="shared" si="14"/>
        <v>4.663507334819069</v>
      </c>
      <c r="E37" s="35">
        <f>1.25*4618.2</f>
        <v>5772.75</v>
      </c>
      <c r="F37" s="36">
        <f t="shared" si="15"/>
        <v>4.834335400834676</v>
      </c>
      <c r="G37" s="35">
        <f>1.25*3674</f>
        <v>4592.5</v>
      </c>
      <c r="H37" s="36">
        <f t="shared" si="16"/>
        <v>4.163572884963902</v>
      </c>
      <c r="I37" s="35">
        <f>1.25*3978.48</f>
        <v>4973.1</v>
      </c>
      <c r="J37" s="36">
        <f t="shared" si="17"/>
        <v>3.572344446671279</v>
      </c>
      <c r="K37" s="35">
        <f>1.25*9398.64</f>
        <v>11748.3</v>
      </c>
      <c r="L37" s="36">
        <f t="shared" si="18"/>
        <v>3.6250613456848035</v>
      </c>
      <c r="M37" s="35"/>
      <c r="N37" s="41"/>
      <c r="O37" s="42">
        <f t="shared" si="19"/>
        <v>57078.59999999999</v>
      </c>
      <c r="P37" s="36">
        <f t="shared" si="20"/>
        <v>3.5621518140155404</v>
      </c>
      <c r="Q37" s="18"/>
    </row>
    <row r="38" spans="1:17" ht="15">
      <c r="A38" s="20"/>
      <c r="B38" s="28" t="s">
        <v>34</v>
      </c>
      <c r="C38" s="35">
        <f>1.25*1462.4</f>
        <v>1828</v>
      </c>
      <c r="D38" s="36">
        <f t="shared" si="14"/>
        <v>1.36091240689792</v>
      </c>
      <c r="E38" s="35">
        <f>1.25*4903.28</f>
        <v>6129.099999999999</v>
      </c>
      <c r="F38" s="36">
        <f t="shared" si="15"/>
        <v>5.132757369582229</v>
      </c>
      <c r="G38" s="35">
        <f>1.25*8840.8</f>
        <v>11051</v>
      </c>
      <c r="H38" s="36">
        <f t="shared" si="16"/>
        <v>10.018866402119997</v>
      </c>
      <c r="I38" s="35">
        <f>1.25*11376.24</f>
        <v>14220.3</v>
      </c>
      <c r="J38" s="36">
        <f t="shared" si="17"/>
        <v>10.214918206953326</v>
      </c>
      <c r="K38" s="35">
        <f>1.25*30769.6</f>
        <v>38462</v>
      </c>
      <c r="L38" s="36">
        <f t="shared" si="18"/>
        <v>11.867854028049072</v>
      </c>
      <c r="M38" s="35"/>
      <c r="N38" s="41"/>
      <c r="O38" s="42">
        <f t="shared" si="19"/>
        <v>99934.55</v>
      </c>
      <c r="P38" s="36">
        <f t="shared" si="20"/>
        <v>6.236698842741882</v>
      </c>
      <c r="Q38" s="18"/>
    </row>
    <row r="39" spans="1:17" ht="15">
      <c r="A39" s="20"/>
      <c r="B39" s="28" t="s">
        <v>35</v>
      </c>
      <c r="C39" s="35">
        <f>1.25*13260.08</f>
        <v>16575.1</v>
      </c>
      <c r="D39" s="36">
        <f t="shared" si="14"/>
        <v>12.33985734987621</v>
      </c>
      <c r="E39" s="35">
        <f>1.25*12071.04</f>
        <v>15088.800000000001</v>
      </c>
      <c r="F39" s="36">
        <f t="shared" si="15"/>
        <v>12.635974188404878</v>
      </c>
      <c r="G39" s="35">
        <f>1.25*9718.76</f>
        <v>12148.45</v>
      </c>
      <c r="H39" s="36">
        <f t="shared" si="16"/>
        <v>11.013817531701628</v>
      </c>
      <c r="I39" s="35">
        <f>1.25*10589.2</f>
        <v>13236.5</v>
      </c>
      <c r="J39" s="36">
        <f t="shared" si="17"/>
        <v>9.508221686345415</v>
      </c>
      <c r="K39" s="35">
        <f>1.25*20684.88</f>
        <v>25856.100000000002</v>
      </c>
      <c r="L39" s="36">
        <f t="shared" si="18"/>
        <v>7.978171195846281</v>
      </c>
      <c r="M39" s="35"/>
      <c r="N39" s="41"/>
      <c r="O39" s="42">
        <f t="shared" si="19"/>
        <v>162374.65</v>
      </c>
      <c r="P39" s="36">
        <f t="shared" si="20"/>
        <v>10.13345026065178</v>
      </c>
      <c r="Q39" s="18"/>
    </row>
    <row r="40" spans="1:17" ht="15">
      <c r="A40" s="20"/>
      <c r="B40" s="28" t="s">
        <v>51</v>
      </c>
      <c r="C40" s="35">
        <f>1.25*4640.8</f>
        <v>5801</v>
      </c>
      <c r="D40" s="36">
        <f t="shared" si="14"/>
        <v>4.31873789519411</v>
      </c>
      <c r="E40" s="35">
        <f>1.25*7701.6</f>
        <v>9627</v>
      </c>
      <c r="F40" s="36">
        <f t="shared" si="15"/>
        <v>8.06204095168428</v>
      </c>
      <c r="G40" s="35">
        <f>1.25*5140</f>
        <v>6425</v>
      </c>
      <c r="H40" s="36">
        <f t="shared" si="16"/>
        <v>5.824922326813952</v>
      </c>
      <c r="I40" s="35">
        <f>1.25*6178.4</f>
        <v>7723</v>
      </c>
      <c r="J40" s="36">
        <f t="shared" si="17"/>
        <v>5.5476898034711315</v>
      </c>
      <c r="K40" s="35">
        <f>1.25*15256.8</f>
        <v>19071</v>
      </c>
      <c r="L40" s="36">
        <f t="shared" si="18"/>
        <v>5.884557333704016</v>
      </c>
      <c r="M40" s="35"/>
      <c r="N40" s="41"/>
      <c r="O40" s="42">
        <f t="shared" si="19"/>
        <v>67314</v>
      </c>
      <c r="P40" s="36">
        <f t="shared" si="20"/>
        <v>4.200920961772751</v>
      </c>
      <c r="Q40" s="18"/>
    </row>
    <row r="41" spans="1:17" ht="15">
      <c r="A41" s="20"/>
      <c r="B41" s="28" t="s">
        <v>37</v>
      </c>
      <c r="C41" s="35">
        <f>1.25*24782.4</f>
        <v>30978</v>
      </c>
      <c r="D41" s="36">
        <f t="shared" si="14"/>
        <v>23.062551718207747</v>
      </c>
      <c r="E41" s="35">
        <f>1.25*6354</f>
        <v>7942.5</v>
      </c>
      <c r="F41" s="36">
        <f t="shared" si="15"/>
        <v>6.651372209281437</v>
      </c>
      <c r="G41" s="35">
        <f>1.25*5340</f>
        <v>6675</v>
      </c>
      <c r="H41" s="36">
        <f t="shared" si="16"/>
        <v>6.051573001009047</v>
      </c>
      <c r="I41" s="35">
        <f>1.25*2260</f>
        <v>2825</v>
      </c>
      <c r="J41" s="36">
        <f t="shared" si="17"/>
        <v>2.029292204429101</v>
      </c>
      <c r="K41" s="35">
        <f>1.25*12116</f>
        <v>15145</v>
      </c>
      <c r="L41" s="36">
        <f t="shared" si="18"/>
        <v>4.67314880283925</v>
      </c>
      <c r="M41" s="35"/>
      <c r="N41" s="41"/>
      <c r="O41" s="42">
        <f t="shared" si="19"/>
        <v>274189</v>
      </c>
      <c r="P41" s="36">
        <f t="shared" si="20"/>
        <v>17.111541693964238</v>
      </c>
      <c r="Q41" s="18"/>
    </row>
    <row r="42" spans="1:17" ht="15">
      <c r="A42" s="20"/>
      <c r="B42" s="28" t="s">
        <v>38</v>
      </c>
      <c r="C42" s="35">
        <f>1.25*10216.08</f>
        <v>12770.1</v>
      </c>
      <c r="D42" s="36">
        <f t="shared" si="14"/>
        <v>9.507104774248976</v>
      </c>
      <c r="E42" s="35">
        <f>1.25*12828.48</f>
        <v>16035.599999999999</v>
      </c>
      <c r="F42" s="36">
        <f t="shared" si="15"/>
        <v>13.428862977545283</v>
      </c>
      <c r="G42" s="35">
        <f>1.25*11404.08</f>
        <v>14255.1</v>
      </c>
      <c r="H42" s="36">
        <f t="shared" si="16"/>
        <v>12.923712102874019</v>
      </c>
      <c r="I42" s="35">
        <f>1.25*14470.88</f>
        <v>18088.6</v>
      </c>
      <c r="J42" s="36">
        <f t="shared" si="17"/>
        <v>12.993647776649995</v>
      </c>
      <c r="K42" s="35">
        <f>1.25*39068</f>
        <v>48835</v>
      </c>
      <c r="L42" s="36">
        <f t="shared" si="18"/>
        <v>15.068552115328805</v>
      </c>
      <c r="M42" s="35"/>
      <c r="N42" s="41"/>
      <c r="O42" s="42">
        <f t="shared" si="19"/>
        <v>186906.12500000003</v>
      </c>
      <c r="P42" s="36">
        <f t="shared" si="20"/>
        <v>11.664406488935706</v>
      </c>
      <c r="Q42" s="18"/>
    </row>
    <row r="43" spans="1:17" ht="15">
      <c r="A43" s="20"/>
      <c r="B43" s="28" t="s">
        <v>39</v>
      </c>
      <c r="C43" s="35">
        <f>4687.6*1.25-C44</f>
        <v>4469.5</v>
      </c>
      <c r="D43" s="36">
        <f t="shared" si="14"/>
        <v>3.3274606141303353</v>
      </c>
      <c r="E43" s="35">
        <f>1.25*5128.6-E44</f>
        <v>5646.25</v>
      </c>
      <c r="F43" s="36">
        <f t="shared" si="15"/>
        <v>4.728399161051975</v>
      </c>
      <c r="G43" s="35">
        <f>1.25*6385.36-G44</f>
        <v>6852.5</v>
      </c>
      <c r="H43" s="36">
        <f t="shared" si="16"/>
        <v>6.212494979687565</v>
      </c>
      <c r="I43" s="35">
        <f>1.25*5431.36-I44</f>
        <v>5538.2</v>
      </c>
      <c r="J43" s="36">
        <f t="shared" si="17"/>
        <v>3.978274720909468</v>
      </c>
      <c r="K43" s="35">
        <f>1.25*13958.56-K44</f>
        <v>12597.1</v>
      </c>
      <c r="L43" s="36">
        <f t="shared" si="18"/>
        <v>3.8869674997851638</v>
      </c>
      <c r="M43" s="35"/>
      <c r="N43" s="41"/>
      <c r="O43" s="42">
        <f t="shared" si="19"/>
        <v>67344.2</v>
      </c>
      <c r="P43" s="36">
        <f t="shared" si="20"/>
        <v>4.202805678370272</v>
      </c>
      <c r="Q43" s="18"/>
    </row>
    <row r="44" spans="1:17" ht="15">
      <c r="A44" s="20"/>
      <c r="B44" s="28" t="s">
        <v>40</v>
      </c>
      <c r="C44" s="35">
        <f>1.25*1112</f>
        <v>1390</v>
      </c>
      <c r="D44" s="36">
        <f t="shared" si="14"/>
        <v>1.0348294560110003</v>
      </c>
      <c r="E44" s="35">
        <f>1.25*611.6</f>
        <v>764.5</v>
      </c>
      <c r="F44" s="36">
        <f t="shared" si="15"/>
        <v>0.6402233621650184</v>
      </c>
      <c r="G44" s="35">
        <f>1.25*903.36</f>
        <v>1129.2</v>
      </c>
      <c r="H44" s="36">
        <f t="shared" si="16"/>
        <v>1.023735765204407</v>
      </c>
      <c r="I44" s="35">
        <f>1.25*1000.8</f>
        <v>1251</v>
      </c>
      <c r="J44" s="36">
        <f t="shared" si="17"/>
        <v>0.8986352381383382</v>
      </c>
      <c r="K44" s="35">
        <f>1.25*3880.88</f>
        <v>4851.1</v>
      </c>
      <c r="L44" s="36">
        <f t="shared" si="18"/>
        <v>1.496857851267975</v>
      </c>
      <c r="M44" s="35"/>
      <c r="N44" s="41"/>
      <c r="O44" s="42">
        <f t="shared" si="19"/>
        <v>16425.9375</v>
      </c>
      <c r="P44" s="36">
        <f t="shared" si="20"/>
        <v>1.0251071866256514</v>
      </c>
      <c r="Q44" s="18"/>
    </row>
    <row r="45" spans="1:17" ht="15">
      <c r="A45" s="20"/>
      <c r="B45" s="28" t="s">
        <v>41</v>
      </c>
      <c r="C45" s="35">
        <f>1.25*5589.6</f>
        <v>6987</v>
      </c>
      <c r="D45" s="36">
        <f t="shared" si="14"/>
        <v>5.201693100107093</v>
      </c>
      <c r="E45" s="35">
        <f>1.25*10901.08</f>
        <v>13626.35</v>
      </c>
      <c r="F45" s="36">
        <f t="shared" si="15"/>
        <v>11.41125913804748</v>
      </c>
      <c r="G45" s="35">
        <f>1.25*4759.76</f>
        <v>5949.700000000001</v>
      </c>
      <c r="H45" s="36">
        <f t="shared" si="16"/>
        <v>5.394014065034237</v>
      </c>
      <c r="I45" s="35">
        <f>1.25*5744.96</f>
        <v>7181.2</v>
      </c>
      <c r="J45" s="36">
        <f t="shared" si="17"/>
        <v>5.158496700334959</v>
      </c>
      <c r="K45" s="35">
        <f>1.25*13717.2</f>
        <v>17146.5</v>
      </c>
      <c r="L45" s="36">
        <f t="shared" si="18"/>
        <v>5.290732647598758</v>
      </c>
      <c r="M45" s="35"/>
      <c r="N45" s="41"/>
      <c r="O45" s="42">
        <f t="shared" si="19"/>
        <v>88601.45</v>
      </c>
      <c r="P45" s="36">
        <f t="shared" si="20"/>
        <v>5.529424615213184</v>
      </c>
      <c r="Q45" s="18"/>
    </row>
    <row r="46" spans="1:17" ht="15">
      <c r="A46" s="20"/>
      <c r="B46" s="28" t="s">
        <v>42</v>
      </c>
      <c r="C46" s="35">
        <f>1.25*5506.88</f>
        <v>6883.6</v>
      </c>
      <c r="D46" s="36">
        <f>100*C46/C$57</f>
        <v>6.405892125357304</v>
      </c>
      <c r="E46" s="35">
        <f>1.25*4526</f>
        <v>5657.5</v>
      </c>
      <c r="F46" s="36">
        <f>100*E46/E$57</f>
        <v>5.9222754601840935</v>
      </c>
      <c r="G46" s="35">
        <f>1.25*4414.96</f>
        <v>5518.7</v>
      </c>
      <c r="H46" s="36">
        <f>100*G46/G$57</f>
        <v>6.254085378402365</v>
      </c>
      <c r="I46" s="35">
        <f>1.25*6327.2</f>
        <v>7909</v>
      </c>
      <c r="J46" s="36">
        <f>100*I46/I$57</f>
        <v>7.101624798597239</v>
      </c>
      <c r="K46" s="35">
        <f>1.25*15947.12</f>
        <v>19933.9</v>
      </c>
      <c r="L46" s="36">
        <f>100*K46/K$57</f>
        <v>7.688517738603278</v>
      </c>
      <c r="M46" s="35"/>
      <c r="N46" s="41"/>
      <c r="O46" s="42">
        <f t="shared" si="19"/>
        <v>77911.2</v>
      </c>
      <c r="P46" s="36">
        <f>O46*100/$O$57</f>
        <v>6.077836579999501</v>
      </c>
      <c r="Q46" s="18"/>
    </row>
    <row r="47" spans="1:17" ht="15">
      <c r="A47" s="20"/>
      <c r="B47" s="28" t="s">
        <v>43</v>
      </c>
      <c r="C47" s="35">
        <f>1.25*3901.6</f>
        <v>4877</v>
      </c>
      <c r="D47" s="36">
        <f aca="true" t="shared" si="21" ref="D47:D55">80*C47/C$57</f>
        <v>3.6308368755148552</v>
      </c>
      <c r="E47" s="35">
        <f>1.25*2111.2</f>
        <v>2639</v>
      </c>
      <c r="F47" s="36">
        <f aca="true" t="shared" si="22" ref="F47:F55">80*E47/E$57</f>
        <v>2.210005824399586</v>
      </c>
      <c r="G47" s="35">
        <f>1.25*3867.2</f>
        <v>4834</v>
      </c>
      <c r="H47" s="36">
        <f aca="true" t="shared" si="23" ref="H47:H55">80*G47/G$57</f>
        <v>4.382517436236365</v>
      </c>
      <c r="I47" s="35">
        <f>1.25*3449.6</f>
        <v>4312</v>
      </c>
      <c r="J47" s="36">
        <f aca="true" t="shared" si="24" ref="J47:J55">80*I47/I$57</f>
        <v>3.0974541541586844</v>
      </c>
      <c r="K47" s="35">
        <f>1.25*4416</f>
        <v>5520</v>
      </c>
      <c r="L47" s="36">
        <f aca="true" t="shared" si="25" ref="L47:L55">80*K47/K$57</f>
        <v>1.7032539710579502</v>
      </c>
      <c r="M47" s="35"/>
      <c r="N47" s="41"/>
      <c r="O47" s="42">
        <f t="shared" si="19"/>
        <v>42023.6</v>
      </c>
      <c r="P47" s="36">
        <f aca="true" t="shared" si="26" ref="P47:P55">O47*80/$O$57</f>
        <v>2.6226018678009533</v>
      </c>
      <c r="Q47" s="18"/>
    </row>
    <row r="48" spans="1:17" ht="15">
      <c r="A48" s="20"/>
      <c r="B48" s="28" t="s">
        <v>44</v>
      </c>
      <c r="C48" s="35">
        <f>1.25*3876</f>
        <v>4845</v>
      </c>
      <c r="D48" s="36">
        <f t="shared" si="21"/>
        <v>3.6070134635779114</v>
      </c>
      <c r="E48" s="35">
        <f>1.25*5899.2</f>
        <v>7374</v>
      </c>
      <c r="F48" s="36">
        <f t="shared" si="22"/>
        <v>6.175287210732303</v>
      </c>
      <c r="G48" s="35">
        <f>1.25*4684.8</f>
        <v>5856</v>
      </c>
      <c r="H48" s="36">
        <f t="shared" si="23"/>
        <v>5.309065392345915</v>
      </c>
      <c r="I48" s="35">
        <f>1.25*4748</f>
        <v>5935</v>
      </c>
      <c r="J48" s="36">
        <f t="shared" si="24"/>
        <v>4.263309463110342</v>
      </c>
      <c r="K48" s="35">
        <f>1.25*12529.6</f>
        <v>15662</v>
      </c>
      <c r="L48" s="36">
        <f t="shared" si="25"/>
        <v>4.83267458237493</v>
      </c>
      <c r="M48" s="35"/>
      <c r="N48" s="41"/>
      <c r="O48" s="42">
        <f t="shared" si="19"/>
        <v>68670.6</v>
      </c>
      <c r="P48" s="36">
        <f t="shared" si="26"/>
        <v>4.285583429858749</v>
      </c>
      <c r="Q48" s="18"/>
    </row>
    <row r="49" spans="1:17" ht="15">
      <c r="A49" s="20"/>
      <c r="B49" s="28" t="s">
        <v>45</v>
      </c>
      <c r="C49" s="35">
        <f>1.25*3561.2</f>
        <v>4451.5</v>
      </c>
      <c r="D49" s="36">
        <f t="shared" si="21"/>
        <v>3.3140599449158046</v>
      </c>
      <c r="E49" s="35">
        <f>1.25*2004.2</f>
        <v>2505.25</v>
      </c>
      <c r="F49" s="36">
        <f t="shared" si="22"/>
        <v>2.097998140044359</v>
      </c>
      <c r="G49" s="35">
        <f>1.25*2291.68</f>
        <v>2864.6</v>
      </c>
      <c r="H49" s="36">
        <f t="shared" si="23"/>
        <v>2.5970540851970814</v>
      </c>
      <c r="I49" s="35">
        <f>1.25*2897.2</f>
        <v>3621.5</v>
      </c>
      <c r="J49" s="36">
        <f t="shared" si="24"/>
        <v>2.6014448560495538</v>
      </c>
      <c r="K49" s="35">
        <f>1.25*5017.68</f>
        <v>6272.1</v>
      </c>
      <c r="L49" s="36">
        <f t="shared" si="25"/>
        <v>1.9353223246145959</v>
      </c>
      <c r="M49" s="35"/>
      <c r="N49" s="41"/>
      <c r="O49" s="42">
        <f t="shared" si="19"/>
        <v>37116.5</v>
      </c>
      <c r="P49" s="36">
        <f t="shared" si="26"/>
        <v>2.3163603838375124</v>
      </c>
      <c r="Q49" s="18"/>
    </row>
    <row r="50" spans="1:17" ht="15">
      <c r="A50" s="20"/>
      <c r="B50" s="28" t="s">
        <v>46</v>
      </c>
      <c r="C50" s="35">
        <f>1.25*2960.32</f>
        <v>3700.4</v>
      </c>
      <c r="D50" s="36">
        <f t="shared" si="21"/>
        <v>2.7548797978583495</v>
      </c>
      <c r="E50" s="35">
        <f>1.25*3420.48</f>
        <v>4275.6</v>
      </c>
      <c r="F50" s="36">
        <f t="shared" si="22"/>
        <v>3.5805611605922207</v>
      </c>
      <c r="G50" s="35">
        <f>1.25*2026.08</f>
        <v>2532.6</v>
      </c>
      <c r="H50" s="36">
        <f t="shared" si="23"/>
        <v>2.2960619898659944</v>
      </c>
      <c r="I50" s="35">
        <f>1.25*4345.68</f>
        <v>5432.1</v>
      </c>
      <c r="J50" s="36">
        <f t="shared" si="24"/>
        <v>3.902059534045777</v>
      </c>
      <c r="K50" s="35">
        <f>1.25*7854.96</f>
        <v>9818.7</v>
      </c>
      <c r="L50" s="36">
        <f t="shared" si="25"/>
        <v>3.029663001019329</v>
      </c>
      <c r="M50" s="35"/>
      <c r="N50" s="41"/>
      <c r="O50" s="42">
        <f t="shared" si="19"/>
        <v>46498.66249999999</v>
      </c>
      <c r="P50" s="36">
        <f t="shared" si="26"/>
        <v>2.9018808270292435</v>
      </c>
      <c r="Q50" s="18"/>
    </row>
    <row r="51" spans="1:17" ht="15">
      <c r="A51" s="20"/>
      <c r="B51" s="28" t="s">
        <v>47</v>
      </c>
      <c r="C51" s="35">
        <v>0</v>
      </c>
      <c r="D51" s="36">
        <f t="shared" si="21"/>
        <v>0</v>
      </c>
      <c r="E51" s="35">
        <v>0</v>
      </c>
      <c r="F51" s="36">
        <f t="shared" si="22"/>
        <v>0</v>
      </c>
      <c r="G51" s="35">
        <f>1.25*1274.4</f>
        <v>1593</v>
      </c>
      <c r="H51" s="36">
        <f t="shared" si="23"/>
        <v>1.444218095971148</v>
      </c>
      <c r="I51" s="35">
        <f>1.25*13766.48</f>
        <v>17208.1</v>
      </c>
      <c r="J51" s="36">
        <f t="shared" si="24"/>
        <v>12.361155109039439</v>
      </c>
      <c r="K51" s="35">
        <f>1.25*21398.96</f>
        <v>26748.699999999997</v>
      </c>
      <c r="L51" s="36">
        <f t="shared" si="25"/>
        <v>8.253592299934382</v>
      </c>
      <c r="M51" s="35"/>
      <c r="N51" s="41"/>
      <c r="O51" s="42">
        <f t="shared" si="19"/>
        <v>46486.299999999996</v>
      </c>
      <c r="P51" s="36">
        <f t="shared" si="26"/>
        <v>2.90110931017703</v>
      </c>
      <c r="Q51" s="18"/>
    </row>
    <row r="52" spans="1:17" ht="15">
      <c r="A52" s="20"/>
      <c r="B52" s="28" t="s">
        <v>48</v>
      </c>
      <c r="C52" s="35">
        <v>118</v>
      </c>
      <c r="D52" s="36">
        <f t="shared" si="21"/>
        <v>0.0878488315174806</v>
      </c>
      <c r="E52" s="35">
        <v>0</v>
      </c>
      <c r="F52" s="36">
        <f t="shared" si="22"/>
        <v>0</v>
      </c>
      <c r="G52" s="35">
        <v>583</v>
      </c>
      <c r="H52" s="36">
        <f t="shared" si="23"/>
        <v>0.5285493722229625</v>
      </c>
      <c r="I52" s="35">
        <v>80</v>
      </c>
      <c r="J52" s="36">
        <f t="shared" si="24"/>
        <v>0.05746668189533737</v>
      </c>
      <c r="K52" s="35">
        <v>280</v>
      </c>
      <c r="L52" s="36">
        <f t="shared" si="25"/>
        <v>0.08639694056091052</v>
      </c>
      <c r="M52" s="35"/>
      <c r="N52" s="41"/>
      <c r="O52" s="42">
        <f t="shared" si="19"/>
        <v>2828</v>
      </c>
      <c r="P52" s="36">
        <f t="shared" si="26"/>
        <v>0.1764893555559518</v>
      </c>
      <c r="Q52" s="18"/>
    </row>
    <row r="53" spans="1:17" ht="15">
      <c r="A53" s="20"/>
      <c r="B53" s="28" t="s">
        <v>60</v>
      </c>
      <c r="C53" s="35">
        <f>1.25*3879.84</f>
        <v>4849.8</v>
      </c>
      <c r="D53" s="36">
        <f t="shared" si="21"/>
        <v>3.610586975368453</v>
      </c>
      <c r="E53" s="35">
        <f>1.25*2637.36</f>
        <v>3296.7000000000003</v>
      </c>
      <c r="F53" s="36">
        <f t="shared" si="22"/>
        <v>2.760790527206561</v>
      </c>
      <c r="G53" s="35">
        <f>1.25*3318.48</f>
        <v>4148.1</v>
      </c>
      <c r="H53" s="36">
        <f t="shared" si="23"/>
        <v>3.7606786465147013</v>
      </c>
      <c r="I53" s="35">
        <f>1.25*5693.44</f>
        <v>7116.799999999999</v>
      </c>
      <c r="J53" s="36">
        <f t="shared" si="24"/>
        <v>5.112236021409212</v>
      </c>
      <c r="K53" s="35">
        <f>1.25*11779.76</f>
        <v>14724.7</v>
      </c>
      <c r="L53" s="36">
        <f t="shared" si="25"/>
        <v>4.5434608238472824</v>
      </c>
      <c r="M53" s="35"/>
      <c r="N53" s="41"/>
      <c r="O53" s="42">
        <f t="shared" si="19"/>
        <v>56719.5</v>
      </c>
      <c r="P53" s="36">
        <f t="shared" si="26"/>
        <v>3.539741160698659</v>
      </c>
      <c r="Q53" s="18"/>
    </row>
    <row r="54" spans="1:17" ht="15">
      <c r="A54" s="20"/>
      <c r="B54" s="28" t="s">
        <v>49</v>
      </c>
      <c r="C54" s="35">
        <f>1.25*2641.84</f>
        <v>3302.3</v>
      </c>
      <c r="D54" s="36">
        <f t="shared" si="21"/>
        <v>2.4585016637303068</v>
      </c>
      <c r="E54" s="35">
        <f>1.25*2056.08</f>
        <v>2570.1</v>
      </c>
      <c r="F54" s="36">
        <f t="shared" si="22"/>
        <v>2.1523061649448185</v>
      </c>
      <c r="G54" s="35">
        <f>1.25*3282.48</f>
        <v>4103.1</v>
      </c>
      <c r="H54" s="36">
        <f t="shared" si="23"/>
        <v>3.719881525159584</v>
      </c>
      <c r="I54" s="35">
        <f>1.25*1446.4</f>
        <v>1808</v>
      </c>
      <c r="J54" s="36">
        <f t="shared" si="24"/>
        <v>1.2987470108346246</v>
      </c>
      <c r="K54" s="35">
        <f>1.25*5367.28</f>
        <v>6709.099999999999</v>
      </c>
      <c r="L54" s="36">
        <f t="shared" si="25"/>
        <v>2.070163263990017</v>
      </c>
      <c r="M54" s="35"/>
      <c r="N54" s="41"/>
      <c r="O54" s="42">
        <f t="shared" si="19"/>
        <v>52688.4</v>
      </c>
      <c r="P54" s="36">
        <f t="shared" si="26"/>
        <v>3.288168939630202</v>
      </c>
      <c r="Q54" s="18"/>
    </row>
    <row r="55" spans="1:17" ht="15.75" thickBot="1">
      <c r="A55" s="20"/>
      <c r="B55" s="28" t="s">
        <v>50</v>
      </c>
      <c r="C55" s="35">
        <f>1.25*88.2</f>
        <v>110.25</v>
      </c>
      <c r="D55" s="36">
        <f t="shared" si="21"/>
        <v>0.082079098939002</v>
      </c>
      <c r="E55" s="35">
        <f>1.25*89.4</f>
        <v>111.75</v>
      </c>
      <c r="F55" s="36">
        <f t="shared" si="22"/>
        <v>0.0935839904799749</v>
      </c>
      <c r="G55" s="35">
        <f>1.25*107.6</f>
        <v>134.5</v>
      </c>
      <c r="H55" s="36">
        <f t="shared" si="23"/>
        <v>0.12193806271696134</v>
      </c>
      <c r="I55" s="35">
        <f>1.25*145.2</f>
        <v>181.5</v>
      </c>
      <c r="J55" s="36">
        <f t="shared" si="24"/>
        <v>0.13037753455004666</v>
      </c>
      <c r="K55" s="35">
        <f>1.25*246.2</f>
        <v>307.75</v>
      </c>
      <c r="L55" s="36">
        <f t="shared" si="25"/>
        <v>0.09495949449150076</v>
      </c>
      <c r="M55" s="35"/>
      <c r="N55" s="41"/>
      <c r="O55" s="42">
        <f t="shared" si="19"/>
        <v>1567.25</v>
      </c>
      <c r="P55" s="36">
        <f t="shared" si="26"/>
        <v>0.0978086783928803</v>
      </c>
      <c r="Q55" s="18"/>
    </row>
    <row r="56" spans="1:17" ht="16.5" thickBot="1" thickTop="1">
      <c r="A56" s="20"/>
      <c r="B56" s="27" t="s">
        <v>9</v>
      </c>
      <c r="C56" s="33">
        <f>SUM(C35:C55)</f>
        <v>134292.15</v>
      </c>
      <c r="D56" s="34"/>
      <c r="E56" s="33">
        <f>SUM(E35:E55)</f>
        <v>119411.45000000001</v>
      </c>
      <c r="F56" s="34"/>
      <c r="G56" s="33">
        <f>SUM(G35:G55)</f>
        <v>110156.15000000001</v>
      </c>
      <c r="H56" s="34"/>
      <c r="I56" s="33">
        <f>SUM(I35:I55)</f>
        <v>139191.09999999998</v>
      </c>
      <c r="J56" s="34"/>
      <c r="K56" s="33">
        <f>SUM(K35:K55)</f>
        <v>324015.55000000005</v>
      </c>
      <c r="L56" s="34"/>
      <c r="M56" s="33">
        <f>SUM(M35:M55)</f>
        <v>0</v>
      </c>
      <c r="N56" s="5"/>
      <c r="O56" s="38">
        <f>SUM(O35:O55)</f>
        <v>1601655.925</v>
      </c>
      <c r="P56" s="34"/>
      <c r="Q56" s="18"/>
    </row>
    <row r="57" spans="1:17" ht="16.5" thickBot="1" thickTop="1">
      <c r="A57" s="20"/>
      <c r="B57" s="27" t="s">
        <v>10</v>
      </c>
      <c r="C57" s="33">
        <f>C56*0.8+C52*0.2</f>
        <v>107457.32</v>
      </c>
      <c r="D57" s="34"/>
      <c r="E57" s="33">
        <f>E56*0.8+E52*0.2</f>
        <v>95529.16000000002</v>
      </c>
      <c r="F57" s="34"/>
      <c r="G57" s="33">
        <f>G56*0.8+G52*0.2</f>
        <v>88241.52000000002</v>
      </c>
      <c r="H57" s="34"/>
      <c r="I57" s="33">
        <f>I56*0.8+I52*0.2</f>
        <v>111368.87999999999</v>
      </c>
      <c r="J57" s="34"/>
      <c r="K57" s="33">
        <f>K56*0.8+K52*0.2</f>
        <v>259268.44000000006</v>
      </c>
      <c r="L57" s="34"/>
      <c r="M57" s="33">
        <f>M56*0.8+M46*0.2</f>
        <v>0</v>
      </c>
      <c r="N57" s="5"/>
      <c r="O57" s="38">
        <f>O56*0.8+O52*0.2</f>
        <v>1281890.3400000003</v>
      </c>
      <c r="P57" s="34"/>
      <c r="Q57" s="18"/>
    </row>
    <row r="58" spans="1:17" ht="16.5" thickBot="1" thickTop="1">
      <c r="A58" s="20"/>
      <c r="B58" s="29"/>
      <c r="C58" s="37"/>
      <c r="D58" s="5"/>
      <c r="E58" s="37"/>
      <c r="F58" s="5"/>
      <c r="G58" s="37"/>
      <c r="H58" s="5"/>
      <c r="I58" s="37"/>
      <c r="J58" s="5"/>
      <c r="K58" s="37"/>
      <c r="L58" s="5"/>
      <c r="M58" s="37"/>
      <c r="N58" s="5"/>
      <c r="O58" s="37"/>
      <c r="P58" s="5"/>
      <c r="Q58" s="20"/>
    </row>
    <row r="59" spans="1:17" ht="16.5" thickBot="1" thickTop="1">
      <c r="A59" s="20"/>
      <c r="B59" s="27" t="s">
        <v>11</v>
      </c>
      <c r="C59" s="38"/>
      <c r="D59" s="5">
        <v>27</v>
      </c>
      <c r="E59" s="38"/>
      <c r="F59" s="5">
        <v>25</v>
      </c>
      <c r="G59" s="38"/>
      <c r="H59" s="5">
        <v>27</v>
      </c>
      <c r="I59" s="38"/>
      <c r="J59" s="5">
        <v>26</v>
      </c>
      <c r="K59" s="38"/>
      <c r="L59" s="5">
        <v>25</v>
      </c>
      <c r="M59" s="38"/>
      <c r="N59" s="5"/>
      <c r="O59" s="38"/>
      <c r="P59" s="5">
        <f>SUM(A28:P28)+SUM(A59:N59)</f>
        <v>304</v>
      </c>
      <c r="Q59" s="18"/>
    </row>
    <row r="60" spans="1:17" ht="16.5" thickBot="1" thickTop="1">
      <c r="A60" s="20"/>
      <c r="B60" s="27" t="s">
        <v>12</v>
      </c>
      <c r="C60" s="38">
        <f>C56/D59</f>
        <v>4973.783333333333</v>
      </c>
      <c r="D60" s="37"/>
      <c r="E60" s="38">
        <f>E56/F59</f>
        <v>4776.4580000000005</v>
      </c>
      <c r="F60" s="37"/>
      <c r="G60" s="38">
        <f>G56/H59</f>
        <v>4079.8574074074077</v>
      </c>
      <c r="H60" s="37"/>
      <c r="I60" s="38">
        <f>I56/J59</f>
        <v>5353.503846153845</v>
      </c>
      <c r="J60" s="37"/>
      <c r="K60" s="38">
        <f>K56/L59</f>
        <v>12960.622000000001</v>
      </c>
      <c r="L60" s="37"/>
      <c r="M60" s="38"/>
      <c r="N60" s="37"/>
      <c r="O60" s="38">
        <f>O56/P59</f>
        <v>5268.605016447368</v>
      </c>
      <c r="P60" s="37"/>
      <c r="Q60" s="19"/>
    </row>
    <row r="61" spans="1:17" ht="16.5" thickBot="1" thickTop="1">
      <c r="A61" s="20"/>
      <c r="B61" s="2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"/>
      <c r="Q61" s="20"/>
    </row>
    <row r="62" spans="1:17" ht="16.5" thickBot="1" thickTop="1">
      <c r="A62" s="32"/>
      <c r="B62" s="27" t="s">
        <v>68</v>
      </c>
      <c r="C62" s="38">
        <v>4261</v>
      </c>
      <c r="D62" s="37"/>
      <c r="E62" s="38">
        <v>3570</v>
      </c>
      <c r="F62" s="37"/>
      <c r="G62" s="38">
        <v>3052</v>
      </c>
      <c r="H62" s="37"/>
      <c r="I62" s="38">
        <v>4531</v>
      </c>
      <c r="J62" s="37"/>
      <c r="K62" s="38">
        <v>12256</v>
      </c>
      <c r="L62" s="37"/>
      <c r="M62" s="38"/>
      <c r="N62" s="37"/>
      <c r="O62" s="38">
        <v>4554</v>
      </c>
      <c r="P62" s="37"/>
      <c r="Q62" s="56"/>
    </row>
    <row r="63" spans="1:17" ht="16.5" thickBot="1" thickTop="1">
      <c r="A63" s="32"/>
      <c r="B63" s="27" t="s">
        <v>64</v>
      </c>
      <c r="C63" s="38">
        <v>3668</v>
      </c>
      <c r="D63" s="37"/>
      <c r="E63" s="38">
        <v>3320</v>
      </c>
      <c r="F63" s="37"/>
      <c r="G63" s="38">
        <v>3388</v>
      </c>
      <c r="H63" s="37"/>
      <c r="I63" s="38">
        <v>4171</v>
      </c>
      <c r="J63" s="37"/>
      <c r="K63" s="38">
        <v>12440</v>
      </c>
      <c r="L63" s="37"/>
      <c r="M63" s="38"/>
      <c r="N63" s="37"/>
      <c r="O63" s="38">
        <v>4255</v>
      </c>
      <c r="P63" s="37"/>
      <c r="Q63" s="56"/>
    </row>
    <row r="64" spans="1:17" ht="15.75" thickTop="1">
      <c r="A64" s="32"/>
      <c r="B64" s="29"/>
      <c r="C64" s="37"/>
      <c r="D64" s="5"/>
      <c r="E64" s="37"/>
      <c r="F64" s="5"/>
      <c r="G64" s="37"/>
      <c r="H64" s="5"/>
      <c r="I64" s="37"/>
      <c r="J64" s="5"/>
      <c r="K64" s="37"/>
      <c r="L64" s="5"/>
      <c r="M64" s="37"/>
      <c r="N64" s="5"/>
      <c r="O64" s="37"/>
      <c r="P64" s="5"/>
      <c r="Q64" s="32"/>
    </row>
    <row r="65" spans="1:17" ht="15">
      <c r="A65" s="32"/>
      <c r="B65" s="26"/>
      <c r="C65" s="39"/>
      <c r="D65" s="32"/>
      <c r="E65" s="39"/>
      <c r="F65" s="32"/>
      <c r="G65" s="39"/>
      <c r="H65" s="32"/>
      <c r="I65" s="39"/>
      <c r="J65" s="39" t="s">
        <v>20</v>
      </c>
      <c r="K65" s="39"/>
      <c r="L65" s="32" t="s">
        <v>69</v>
      </c>
      <c r="M65" s="39" t="s">
        <v>21</v>
      </c>
      <c r="N65" s="32"/>
      <c r="O65" s="39">
        <v>1384530</v>
      </c>
      <c r="P65" s="32"/>
      <c r="Q65" s="32"/>
    </row>
    <row r="66" spans="1:17" ht="15">
      <c r="A66" s="32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65</v>
      </c>
      <c r="M66" s="39" t="s">
        <v>21</v>
      </c>
      <c r="N66" s="32"/>
      <c r="O66" s="39">
        <v>1293490</v>
      </c>
      <c r="P66" s="32"/>
      <c r="Q66" s="32"/>
    </row>
    <row r="67" spans="1:17" ht="15">
      <c r="A67" s="32"/>
      <c r="B67" s="26"/>
      <c r="C67" s="39"/>
      <c r="D67" s="32"/>
      <c r="E67" s="39"/>
      <c r="F67" s="32"/>
      <c r="G67" s="39"/>
      <c r="H67" s="32"/>
      <c r="I67" s="39"/>
      <c r="J67" s="32"/>
      <c r="K67" s="39"/>
      <c r="L67" s="32"/>
      <c r="M67" s="39"/>
      <c r="N67" s="32"/>
      <c r="O67" s="39"/>
      <c r="P67" s="32"/>
      <c r="Q67" s="32"/>
    </row>
    <row r="68" spans="1:17" ht="15">
      <c r="A68" s="20"/>
      <c r="B68" s="26"/>
      <c r="C68" s="39"/>
      <c r="D68" s="39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5">
      <c r="A69" s="20"/>
      <c r="B69" s="26"/>
      <c r="C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5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3:15" ht="15">
      <c r="C76" s="44"/>
      <c r="E76" s="44"/>
      <c r="G76" s="44"/>
      <c r="I76" s="44"/>
      <c r="K76" s="44"/>
      <c r="M76" s="44"/>
      <c r="O76" s="44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3" ht="15">
      <c r="C93" s="44"/>
      <c r="E93" s="45"/>
      <c r="G93" s="44"/>
      <c r="I93" s="44"/>
      <c r="K93" s="44"/>
      <c r="M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5"/>
      <c r="E104" s="45"/>
      <c r="G104" s="44"/>
      <c r="I104" s="44"/>
      <c r="K104" s="44"/>
      <c r="M104" s="44"/>
    </row>
    <row r="105" spans="3:13" ht="15">
      <c r="C105" s="44"/>
      <c r="E105" s="44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5" ht="15">
      <c r="C192" s="45"/>
      <c r="E192" s="45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A34">
      <selection activeCell="A69" sqref="A69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21484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5">
      <c r="A1" s="20"/>
      <c r="B1" s="26"/>
      <c r="C1" s="31"/>
      <c r="D1" s="32"/>
      <c r="E1" s="31"/>
      <c r="F1" s="51" t="s">
        <v>63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5.75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6.5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7" ht="15.75" thickTop="1">
      <c r="A4" s="20"/>
      <c r="B4" s="27" t="s">
        <v>31</v>
      </c>
      <c r="C4" s="33">
        <f>1.25*2110.4</f>
        <v>2638</v>
      </c>
      <c r="D4" s="34">
        <f aca="true" t="shared" si="0" ref="D4:D14">80*C4/C$26</f>
        <v>3.665034212080164</v>
      </c>
      <c r="E4" s="33">
        <f>1.25*4126.32</f>
        <v>5157.9</v>
      </c>
      <c r="F4" s="34">
        <f aca="true" t="shared" si="1" ref="F4:F14">80*E4/E$26</f>
        <v>7.647014782093658</v>
      </c>
      <c r="G4" s="33">
        <f>1.25*3511.68</f>
        <v>4389.599999999999</v>
      </c>
      <c r="H4" s="34">
        <f aca="true" t="shared" si="2" ref="H4:H14">80*G4/G$26</f>
        <v>4.918716131721549</v>
      </c>
      <c r="I4" s="33">
        <f>1.25*2593.84</f>
        <v>3242.3</v>
      </c>
      <c r="J4" s="34">
        <f aca="true" t="shared" si="3" ref="J4:J14">80*I4/I$26</f>
        <v>3.6511071673092856</v>
      </c>
      <c r="K4" s="33">
        <f>1.25*3296.16</f>
        <v>4120.2</v>
      </c>
      <c r="L4" s="34">
        <f aca="true" t="shared" si="4" ref="L4:L14">80*K4/K$26</f>
        <v>3.5284128350919586</v>
      </c>
      <c r="M4" s="33">
        <f>1.25*4266.32</f>
        <v>5332.9</v>
      </c>
      <c r="N4" s="34">
        <f aca="true" t="shared" si="5" ref="N4:N14">80*M4/M$26</f>
        <v>4.119909538748628</v>
      </c>
      <c r="O4" s="33">
        <f>1.25*4240.8</f>
        <v>5301</v>
      </c>
      <c r="P4" s="34">
        <f aca="true" t="shared" si="6" ref="P4:P14">80*O4/O$26</f>
        <v>4.34570532658373</v>
      </c>
      <c r="Q4" s="18"/>
    </row>
    <row r="5" spans="1:17" ht="15">
      <c r="A5" s="20"/>
      <c r="B5" s="28" t="s">
        <v>32</v>
      </c>
      <c r="C5" s="35">
        <f>1.25*3471.2</f>
        <v>4339</v>
      </c>
      <c r="D5" s="36">
        <f t="shared" si="0"/>
        <v>6.028272724115175</v>
      </c>
      <c r="E5" s="35">
        <f>1.25*3235.6</f>
        <v>4044.5</v>
      </c>
      <c r="F5" s="36">
        <f t="shared" si="1"/>
        <v>5.996306885782547</v>
      </c>
      <c r="G5" s="35">
        <f>1.25*5556</f>
        <v>6945</v>
      </c>
      <c r="H5" s="36">
        <f t="shared" si="2"/>
        <v>7.782140407965684</v>
      </c>
      <c r="I5" s="35">
        <f>1.25*5629.76</f>
        <v>7037.200000000001</v>
      </c>
      <c r="J5" s="36">
        <f t="shared" si="3"/>
        <v>7.924489207596121</v>
      </c>
      <c r="K5" s="35">
        <f>1.25*5302.4</f>
        <v>6628</v>
      </c>
      <c r="L5" s="36">
        <f t="shared" si="4"/>
        <v>5.676015793162832</v>
      </c>
      <c r="M5" s="35">
        <f>1.25*5644.08</f>
        <v>7055.1</v>
      </c>
      <c r="N5" s="36">
        <f t="shared" si="5"/>
        <v>5.450387929049006</v>
      </c>
      <c r="O5" s="35">
        <f>1.25*4450.4</f>
        <v>5563</v>
      </c>
      <c r="P5" s="36">
        <f t="shared" si="6"/>
        <v>4.560490234254913</v>
      </c>
      <c r="Q5" s="18"/>
    </row>
    <row r="6" spans="1:17" ht="15">
      <c r="A6" s="20"/>
      <c r="B6" s="28" t="s">
        <v>33</v>
      </c>
      <c r="C6" s="35">
        <f>1.25*2056</f>
        <v>2570</v>
      </c>
      <c r="D6" s="36">
        <f t="shared" si="0"/>
        <v>3.5705602445208573</v>
      </c>
      <c r="E6" s="35">
        <f>1.25*2903.2</f>
        <v>3629</v>
      </c>
      <c r="F6" s="36">
        <f t="shared" si="1"/>
        <v>5.380293655211982</v>
      </c>
      <c r="G6" s="35">
        <f>1.25*4452.88</f>
        <v>5566.1</v>
      </c>
      <c r="H6" s="36">
        <f t="shared" si="2"/>
        <v>6.2370297659867235</v>
      </c>
      <c r="I6" s="35">
        <f>1.25*3526.64</f>
        <v>4408.3</v>
      </c>
      <c r="J6" s="36">
        <f t="shared" si="3"/>
        <v>4.964122914489567</v>
      </c>
      <c r="K6" s="35">
        <f>1.25*4440.08</f>
        <v>5550.1</v>
      </c>
      <c r="L6" s="36">
        <f t="shared" si="4"/>
        <v>4.752935312859541</v>
      </c>
      <c r="M6" s="35">
        <f>1.25*4410.4</f>
        <v>5513</v>
      </c>
      <c r="N6" s="36">
        <f t="shared" si="5"/>
        <v>4.25904503874462</v>
      </c>
      <c r="O6" s="35">
        <f>1.25*4322.4</f>
        <v>5403</v>
      </c>
      <c r="P6" s="36">
        <f t="shared" si="6"/>
        <v>4.429323878425183</v>
      </c>
      <c r="Q6" s="18"/>
    </row>
    <row r="7" spans="1:17" ht="15">
      <c r="A7" s="20"/>
      <c r="B7" s="28" t="s">
        <v>34</v>
      </c>
      <c r="C7" s="35">
        <f>1.25*7490.24</f>
        <v>9362.8</v>
      </c>
      <c r="D7" s="36">
        <f t="shared" si="0"/>
        <v>13.007953874474662</v>
      </c>
      <c r="E7" s="35">
        <f>1.25*4967.08</f>
        <v>6208.85</v>
      </c>
      <c r="F7" s="36">
        <f t="shared" si="1"/>
        <v>9.205135370945968</v>
      </c>
      <c r="G7" s="35">
        <f>1.25*4067.6</f>
        <v>5084.5</v>
      </c>
      <c r="H7" s="36">
        <f t="shared" si="2"/>
        <v>5.697378387948383</v>
      </c>
      <c r="I7" s="35">
        <f>1.25*2818.4</f>
        <v>3523</v>
      </c>
      <c r="J7" s="36">
        <f t="shared" si="3"/>
        <v>3.9671993802025147</v>
      </c>
      <c r="K7" s="35">
        <f>1.25*4074.8</f>
        <v>5093.5</v>
      </c>
      <c r="L7" s="36">
        <f t="shared" si="4"/>
        <v>4.361917085466941</v>
      </c>
      <c r="M7" s="35">
        <f>1.25*2392.8</f>
        <v>2991</v>
      </c>
      <c r="N7" s="36">
        <f t="shared" si="5"/>
        <v>2.3106845113160093</v>
      </c>
      <c r="O7" s="35">
        <f>1.25*3170.4</f>
        <v>3963</v>
      </c>
      <c r="P7" s="36">
        <f t="shared" si="6"/>
        <v>3.2488266759576163</v>
      </c>
      <c r="Q7" s="18"/>
    </row>
    <row r="8" spans="1:17" ht="15">
      <c r="A8" s="20"/>
      <c r="B8" s="28" t="s">
        <v>35</v>
      </c>
      <c r="C8" s="35">
        <f>1.25*5879.28</f>
        <v>7349.099999999999</v>
      </c>
      <c r="D8" s="36">
        <f t="shared" si="0"/>
        <v>10.210274043972074</v>
      </c>
      <c r="E8" s="35">
        <f>1.25*3019.2</f>
        <v>3774</v>
      </c>
      <c r="F8" s="36">
        <f t="shared" si="1"/>
        <v>5.595268188142745</v>
      </c>
      <c r="G8" s="35">
        <f>1.25*4638.88</f>
        <v>5798.6</v>
      </c>
      <c r="H8" s="36">
        <f t="shared" si="2"/>
        <v>6.497554984827907</v>
      </c>
      <c r="I8" s="35">
        <f>1.25*5288</f>
        <v>6610</v>
      </c>
      <c r="J8" s="36">
        <f t="shared" si="3"/>
        <v>7.443425462145507</v>
      </c>
      <c r="K8" s="35">
        <f>1.25*6492.8</f>
        <v>8116</v>
      </c>
      <c r="L8" s="36">
        <f t="shared" si="4"/>
        <v>6.950293327898242</v>
      </c>
      <c r="M8" s="35">
        <f>1.25*7314.56</f>
        <v>9143.2</v>
      </c>
      <c r="N8" s="36">
        <f t="shared" si="5"/>
        <v>7.063540830446184</v>
      </c>
      <c r="O8" s="35">
        <f>1.25*5976.4</f>
        <v>7470.5</v>
      </c>
      <c r="P8" s="36">
        <f t="shared" si="6"/>
        <v>6.124239132662471</v>
      </c>
      <c r="Q8" s="18"/>
    </row>
    <row r="9" spans="1:17" ht="15">
      <c r="A9" s="20"/>
      <c r="B9" s="28" t="s">
        <v>51</v>
      </c>
      <c r="C9" s="35">
        <f>1.25*1331.2</f>
        <v>1664</v>
      </c>
      <c r="D9" s="36">
        <f t="shared" si="0"/>
        <v>2.3118335590983294</v>
      </c>
      <c r="E9" s="35">
        <f>1.25*2054.4</f>
        <v>2568</v>
      </c>
      <c r="F9" s="36">
        <f t="shared" si="1"/>
        <v>3.8072731073530917</v>
      </c>
      <c r="G9" s="35">
        <f>1.25*2628.88</f>
        <v>3286.1000000000004</v>
      </c>
      <c r="H9" s="36">
        <f t="shared" si="2"/>
        <v>3.6822018134796304</v>
      </c>
      <c r="I9" s="35">
        <f>1.25*1816</f>
        <v>2270</v>
      </c>
      <c r="J9" s="36">
        <f t="shared" si="3"/>
        <v>2.556214190479622</v>
      </c>
      <c r="K9" s="35">
        <f>1.25*2848.8</f>
        <v>3561</v>
      </c>
      <c r="L9" s="36">
        <f t="shared" si="4"/>
        <v>3.0495311163930063</v>
      </c>
      <c r="M9" s="35">
        <f>1.25*2703.2</f>
        <v>3379</v>
      </c>
      <c r="N9" s="36">
        <f t="shared" si="5"/>
        <v>2.610432284766565</v>
      </c>
      <c r="O9" s="35">
        <f>1.25*2190.4</f>
        <v>2738</v>
      </c>
      <c r="P9" s="36">
        <f t="shared" si="6"/>
        <v>2.2445842641362486</v>
      </c>
      <c r="Q9" s="18"/>
    </row>
    <row r="10" spans="1:17" ht="15">
      <c r="A10" s="20"/>
      <c r="B10" s="28" t="s">
        <v>37</v>
      </c>
      <c r="C10" s="35">
        <f>1.25*840</f>
        <v>1050</v>
      </c>
      <c r="D10" s="36">
        <f t="shared" si="0"/>
        <v>1.4587892049598834</v>
      </c>
      <c r="E10" s="35">
        <f>1.25*380</f>
        <v>475</v>
      </c>
      <c r="F10" s="36">
        <f t="shared" si="1"/>
        <v>0.7042269182214637</v>
      </c>
      <c r="G10" s="35">
        <f>1.25*13980.4</f>
        <v>17475.5</v>
      </c>
      <c r="H10" s="36">
        <f t="shared" si="2"/>
        <v>19.581971878963905</v>
      </c>
      <c r="I10" s="35">
        <f>1.25*18370</f>
        <v>22962.5</v>
      </c>
      <c r="J10" s="36">
        <f t="shared" si="3"/>
        <v>25.857739360743754</v>
      </c>
      <c r="K10" s="35">
        <f>1.25*20664.4</f>
        <v>25830.5</v>
      </c>
      <c r="L10" s="36">
        <f t="shared" si="4"/>
        <v>22.120447487219757</v>
      </c>
      <c r="M10" s="35">
        <f>1.25*31809.6</f>
        <v>39762</v>
      </c>
      <c r="N10" s="36">
        <f t="shared" si="5"/>
        <v>30.717966412219045</v>
      </c>
      <c r="O10" s="35">
        <f>1.25*32026.4</f>
        <v>40033</v>
      </c>
      <c r="P10" s="36">
        <f t="shared" si="6"/>
        <v>32.81864201832229</v>
      </c>
      <c r="Q10" s="18"/>
    </row>
    <row r="11" spans="1:17" ht="15">
      <c r="A11" s="20"/>
      <c r="B11" s="28" t="s">
        <v>38</v>
      </c>
      <c r="C11" s="35">
        <f>1.25*8914.08</f>
        <v>11142.6</v>
      </c>
      <c r="D11" s="36">
        <f t="shared" si="0"/>
        <v>15.480671043034281</v>
      </c>
      <c r="E11" s="35">
        <f>1.25*7640.64</f>
        <v>9550.800000000001</v>
      </c>
      <c r="F11" s="36">
        <f t="shared" si="1"/>
        <v>14.159853580104329</v>
      </c>
      <c r="G11" s="35">
        <f>1.25*7487.68</f>
        <v>9359.6</v>
      </c>
      <c r="H11" s="36">
        <f t="shared" si="2"/>
        <v>10.487792852756748</v>
      </c>
      <c r="I11" s="35">
        <f>1.25*8288.32</f>
        <v>10360.4</v>
      </c>
      <c r="J11" s="36">
        <f t="shared" si="3"/>
        <v>11.66669669561457</v>
      </c>
      <c r="K11" s="35">
        <f>1.25*11423.68</f>
        <v>14279.6</v>
      </c>
      <c r="L11" s="36">
        <f t="shared" si="4"/>
        <v>12.228611213042845</v>
      </c>
      <c r="M11" s="35">
        <f>1.25*11648.8</f>
        <v>14561</v>
      </c>
      <c r="N11" s="36">
        <f t="shared" si="5"/>
        <v>11.249039508282317</v>
      </c>
      <c r="O11" s="35">
        <f>1.25*11449.6</f>
        <v>14312</v>
      </c>
      <c r="P11" s="36">
        <f t="shared" si="6"/>
        <v>11.732830528969318</v>
      </c>
      <c r="Q11" s="18"/>
    </row>
    <row r="12" spans="1:17" ht="15">
      <c r="A12" s="20"/>
      <c r="B12" s="28" t="s">
        <v>39</v>
      </c>
      <c r="C12" s="35">
        <f>1.25*2233.76-C13</f>
        <v>1263.2000000000003</v>
      </c>
      <c r="D12" s="36">
        <f t="shared" si="0"/>
        <v>1.7549928797193572</v>
      </c>
      <c r="E12" s="35">
        <f>1.25*3290.88-E13</f>
        <v>3128.1000000000004</v>
      </c>
      <c r="F12" s="36">
        <f t="shared" si="1"/>
        <v>4.6376678376601275</v>
      </c>
      <c r="G12" s="35">
        <f>3148.08*1.25-G13</f>
        <v>3001.1</v>
      </c>
      <c r="H12" s="36">
        <f t="shared" si="2"/>
        <v>3.362848319416244</v>
      </c>
      <c r="I12" s="35">
        <f>2960*1.25-I13</f>
        <v>2727</v>
      </c>
      <c r="J12" s="36">
        <f t="shared" si="3"/>
        <v>3.0708352852149465</v>
      </c>
      <c r="K12" s="35">
        <f>5395.6*1.25-K13</f>
        <v>4937.5</v>
      </c>
      <c r="L12" s="36">
        <f t="shared" si="4"/>
        <v>4.228323472954358</v>
      </c>
      <c r="M12" s="35">
        <f>1.25*4984.6-M13</f>
        <v>4979.75</v>
      </c>
      <c r="N12" s="36">
        <f t="shared" si="5"/>
        <v>3.847084986702072</v>
      </c>
      <c r="O12" s="35">
        <f>1.25*3868-O13</f>
        <v>3901</v>
      </c>
      <c r="P12" s="36">
        <f t="shared" si="6"/>
        <v>3.197999713073596</v>
      </c>
      <c r="Q12" s="18"/>
    </row>
    <row r="13" spans="1:17" ht="15">
      <c r="A13" s="20"/>
      <c r="B13" s="28" t="s">
        <v>40</v>
      </c>
      <c r="C13" s="35">
        <f>1.25*1223.2</f>
        <v>1529</v>
      </c>
      <c r="D13" s="36">
        <f t="shared" si="0"/>
        <v>2.1242749470320588</v>
      </c>
      <c r="E13" s="35">
        <f>1.25*788.4</f>
        <v>985.5</v>
      </c>
      <c r="F13" s="36">
        <f t="shared" si="1"/>
        <v>1.4610855324363208</v>
      </c>
      <c r="G13" s="35">
        <f>1.25*747.2</f>
        <v>934</v>
      </c>
      <c r="H13" s="36">
        <f t="shared" si="2"/>
        <v>1.0465830296673793</v>
      </c>
      <c r="I13" s="35">
        <f>1.25*778.4</f>
        <v>973</v>
      </c>
      <c r="J13" s="36">
        <f t="shared" si="3"/>
        <v>1.0956812367121904</v>
      </c>
      <c r="K13" s="35">
        <f>1.25*1445.6</f>
        <v>1807</v>
      </c>
      <c r="L13" s="36">
        <f t="shared" si="4"/>
        <v>1.5474593449374228</v>
      </c>
      <c r="M13" s="35">
        <f>1.25*1000.8</f>
        <v>1251</v>
      </c>
      <c r="N13" s="36">
        <f t="shared" si="5"/>
        <v>0.966454805635683</v>
      </c>
      <c r="O13" s="35">
        <f>1.25*747.2</f>
        <v>934</v>
      </c>
      <c r="P13" s="36">
        <f t="shared" si="6"/>
        <v>0.7656836021560468</v>
      </c>
      <c r="Q13" s="18"/>
    </row>
    <row r="14" spans="1:17" ht="15">
      <c r="A14" s="20"/>
      <c r="B14" s="28" t="s">
        <v>41</v>
      </c>
      <c r="C14" s="35">
        <f>1.25*7848.48</f>
        <v>9810.599999999999</v>
      </c>
      <c r="D14" s="36">
        <f t="shared" si="0"/>
        <v>13.630092737313742</v>
      </c>
      <c r="E14" s="35">
        <f>1.25*5660.96</f>
        <v>7076.2</v>
      </c>
      <c r="F14" s="36">
        <f t="shared" si="1"/>
        <v>10.49105372361836</v>
      </c>
      <c r="G14" s="35">
        <f>1.25*4440.88</f>
        <v>5551.1</v>
      </c>
      <c r="H14" s="36">
        <f t="shared" si="2"/>
        <v>6.220221687351808</v>
      </c>
      <c r="I14" s="35">
        <f>1.25*5419.6</f>
        <v>6774.5</v>
      </c>
      <c r="J14" s="36">
        <f t="shared" si="3"/>
        <v>7.6286665345392946</v>
      </c>
      <c r="K14" s="35">
        <f>1.25*5362.4</f>
        <v>6703</v>
      </c>
      <c r="L14" s="36">
        <f t="shared" si="4"/>
        <v>5.74024349148619</v>
      </c>
      <c r="M14" s="35">
        <f>1.25*6034</f>
        <v>7542.5</v>
      </c>
      <c r="N14" s="36">
        <f t="shared" si="5"/>
        <v>5.82692675580107</v>
      </c>
      <c r="O14" s="35">
        <f>1.25*4112.8</f>
        <v>5141</v>
      </c>
      <c r="P14" s="36">
        <f t="shared" si="6"/>
        <v>4.214538970754001</v>
      </c>
      <c r="Q14" s="18"/>
    </row>
    <row r="15" spans="1:17" ht="15">
      <c r="A15" s="20"/>
      <c r="B15" s="28" t="s">
        <v>42</v>
      </c>
      <c r="C15" s="35">
        <f>1.25*2597.4</f>
        <v>3246.75</v>
      </c>
      <c r="D15" s="36">
        <f>100*C15/C$26</f>
        <v>5.638480775242263</v>
      </c>
      <c r="E15" s="35">
        <f>1.25*2642.8</f>
        <v>3303.5</v>
      </c>
      <c r="F15" s="36">
        <f>100*E15/E$26</f>
        <v>6.122141116696329</v>
      </c>
      <c r="G15" s="35">
        <f>1.25*2526.48</f>
        <v>3158.1</v>
      </c>
      <c r="H15" s="36">
        <f>100*G15/G$26</f>
        <v>4.423466094743778</v>
      </c>
      <c r="I15" s="35">
        <f>1.25*2182.16</f>
        <v>2727.7</v>
      </c>
      <c r="J15" s="36">
        <f>100*I15/I$26</f>
        <v>3.839529431371842</v>
      </c>
      <c r="K15" s="35">
        <f>1.25*3881.6</f>
        <v>4852</v>
      </c>
      <c r="L15" s="36">
        <f>100*K15/K$26</f>
        <v>5.193879871082163</v>
      </c>
      <c r="M15" s="35">
        <f>1.25*4544</f>
        <v>5680</v>
      </c>
      <c r="N15" s="36">
        <f>100*M15/M$26</f>
        <v>5.485075235822022</v>
      </c>
      <c r="O15" s="35">
        <f>1.25*3780.88</f>
        <v>4726.1</v>
      </c>
      <c r="P15" s="36">
        <f>100*O15/O$26</f>
        <v>4.843010267866292</v>
      </c>
      <c r="Q15" s="18"/>
    </row>
    <row r="16" spans="1:17" ht="15">
      <c r="A16" s="20"/>
      <c r="B16" s="28" t="s">
        <v>43</v>
      </c>
      <c r="C16" s="35">
        <f>1.25*3138.4</f>
        <v>3923</v>
      </c>
      <c r="D16" s="36">
        <f aca="true" t="shared" si="7" ref="D16:D24">80*C16/C$26</f>
        <v>5.450314334340592</v>
      </c>
      <c r="E16" s="35">
        <f>1.25*3882.4</f>
        <v>4853</v>
      </c>
      <c r="F16" s="36">
        <f aca="true" t="shared" si="8" ref="F16:F24">80*E16/E$26</f>
        <v>7.194975229744764</v>
      </c>
      <c r="G16" s="35">
        <f>1.25*3336</f>
        <v>4170</v>
      </c>
      <c r="H16" s="36">
        <f aca="true" t="shared" si="9" ref="H16:H24">80*G16/G$26</f>
        <v>4.672645860506393</v>
      </c>
      <c r="I16" s="35">
        <f>1.25*2065.6</f>
        <v>2582</v>
      </c>
      <c r="J16" s="36">
        <f aca="true" t="shared" si="10" ref="J16:J24">80*I16/I$26</f>
        <v>2.9075528809772617</v>
      </c>
      <c r="K16" s="35">
        <f>1.25*2851.2</f>
        <v>3564</v>
      </c>
      <c r="L16" s="36">
        <f aca="true" t="shared" si="11" ref="L16:L24">80*K16/K$26</f>
        <v>3.0521002243259407</v>
      </c>
      <c r="M16" s="35">
        <f>1.25*2540</f>
        <v>3175</v>
      </c>
      <c r="N16" s="36">
        <f aca="true" t="shared" si="12" ref="N16:N24">80*M16/M$26</f>
        <v>2.4528329399626645</v>
      </c>
      <c r="O16" s="35">
        <f>1.25*2616</f>
        <v>3270</v>
      </c>
      <c r="P16" s="36">
        <f aca="true" t="shared" si="13" ref="P16:P24">80*O16/O$26</f>
        <v>2.6807123972700997</v>
      </c>
      <c r="Q16" s="18"/>
    </row>
    <row r="17" spans="1:17" ht="15">
      <c r="A17" s="20"/>
      <c r="B17" s="28" t="s">
        <v>44</v>
      </c>
      <c r="C17" s="35">
        <f>1.25*2280.8</f>
        <v>2851</v>
      </c>
      <c r="D17" s="36">
        <f t="shared" si="7"/>
        <v>3.9609600222291688</v>
      </c>
      <c r="E17" s="35">
        <f>1.25*2888</f>
        <v>3610</v>
      </c>
      <c r="F17" s="36">
        <f t="shared" si="8"/>
        <v>5.3521245784831235</v>
      </c>
      <c r="G17" s="35">
        <f>1.25*3029.6</f>
        <v>3787</v>
      </c>
      <c r="H17" s="36">
        <f t="shared" si="9"/>
        <v>4.243479586028228</v>
      </c>
      <c r="I17" s="35">
        <f>1.25*2176.8</f>
        <v>2721</v>
      </c>
      <c r="J17" s="36">
        <f t="shared" si="10"/>
        <v>3.064078771936146</v>
      </c>
      <c r="K17" s="35">
        <f>1.25*3001.6</f>
        <v>3752</v>
      </c>
      <c r="L17" s="36">
        <f t="shared" si="11"/>
        <v>3.213097654789823</v>
      </c>
      <c r="M17" s="35">
        <f>1.25*3010.4</f>
        <v>3763</v>
      </c>
      <c r="N17" s="36">
        <f t="shared" si="12"/>
        <v>2.9070898749856715</v>
      </c>
      <c r="O17" s="35">
        <f>1.25*2391.2</f>
        <v>2989</v>
      </c>
      <c r="P17" s="36">
        <f t="shared" si="13"/>
        <v>2.4503514848441372</v>
      </c>
      <c r="Q17" s="18"/>
    </row>
    <row r="18" spans="1:17" ht="15">
      <c r="A18" s="20"/>
      <c r="B18" s="28" t="s">
        <v>45</v>
      </c>
      <c r="C18" s="35">
        <f>1.25*984.4</f>
        <v>1230.5</v>
      </c>
      <c r="D18" s="36">
        <f t="shared" si="7"/>
        <v>1.709562015907749</v>
      </c>
      <c r="E18" s="35">
        <f>1.25*1455.44</f>
        <v>1819.3000000000002</v>
      </c>
      <c r="F18" s="36">
        <f t="shared" si="8"/>
        <v>2.6972632259374922</v>
      </c>
      <c r="G18" s="35">
        <f>1.25*1644.8</f>
        <v>2056</v>
      </c>
      <c r="H18" s="36">
        <f t="shared" si="9"/>
        <v>2.3038273115590275</v>
      </c>
      <c r="I18" s="35">
        <f>1.25*1172.8</f>
        <v>1466</v>
      </c>
      <c r="J18" s="36">
        <f t="shared" si="10"/>
        <v>1.6508414111203198</v>
      </c>
      <c r="K18" s="35">
        <f>1.25*3156.08</f>
        <v>3945.1</v>
      </c>
      <c r="L18" s="36">
        <f t="shared" si="11"/>
        <v>3.3784625687396934</v>
      </c>
      <c r="M18" s="35">
        <f>1.25*2223.2</f>
        <v>2779</v>
      </c>
      <c r="N18" s="36">
        <f t="shared" si="12"/>
        <v>2.146904800049211</v>
      </c>
      <c r="O18" s="35">
        <f>1.25*2404.4</f>
        <v>3005.5</v>
      </c>
      <c r="P18" s="36">
        <f t="shared" si="13"/>
        <v>2.463878015289078</v>
      </c>
      <c r="Q18" s="18"/>
    </row>
    <row r="19" spans="1:17" ht="15">
      <c r="A19" s="20"/>
      <c r="B19" s="28" t="s">
        <v>46</v>
      </c>
      <c r="C19" s="35">
        <f>1.25*2455.68</f>
        <v>3069.6</v>
      </c>
      <c r="D19" s="36">
        <f t="shared" si="7"/>
        <v>4.264666041471293</v>
      </c>
      <c r="E19" s="35">
        <f>1.25*1732</f>
        <v>2165</v>
      </c>
      <c r="F19" s="36">
        <f t="shared" si="8"/>
        <v>3.2097921641041447</v>
      </c>
      <c r="G19" s="35">
        <f>1.25*2334.4</f>
        <v>2918</v>
      </c>
      <c r="H19" s="36">
        <f t="shared" si="9"/>
        <v>3.2697315637788145</v>
      </c>
      <c r="I19" s="35">
        <f>1.25*1950.56</f>
        <v>2438.2</v>
      </c>
      <c r="J19" s="36">
        <f t="shared" si="10"/>
        <v>2.7456217793953366</v>
      </c>
      <c r="K19" s="35">
        <f>1.25*2695.2</f>
        <v>3369</v>
      </c>
      <c r="L19" s="36">
        <f t="shared" si="11"/>
        <v>2.8851082086852116</v>
      </c>
      <c r="M19" s="35">
        <f>1.25*3129.76</f>
        <v>3912.2000000000003</v>
      </c>
      <c r="N19" s="36">
        <f t="shared" si="12"/>
        <v>3.02235370951872</v>
      </c>
      <c r="O19" s="35">
        <f>1.25*1936</f>
        <v>2420</v>
      </c>
      <c r="P19" s="36">
        <f t="shared" si="13"/>
        <v>1.983891131924661</v>
      </c>
      <c r="Q19" s="18"/>
    </row>
    <row r="20" spans="1:17" ht="15">
      <c r="A20" s="20"/>
      <c r="B20" s="28" t="s">
        <v>47</v>
      </c>
      <c r="C20" s="35">
        <f>1.25*242.8</f>
        <v>303.5</v>
      </c>
      <c r="D20" s="36">
        <f t="shared" si="7"/>
        <v>0.42165954638602343</v>
      </c>
      <c r="E20" s="35">
        <f>1.25*30.8</f>
        <v>38.5</v>
      </c>
      <c r="F20" s="36">
        <f t="shared" si="8"/>
        <v>0.05707944495058179</v>
      </c>
      <c r="G20" s="35">
        <v>0</v>
      </c>
      <c r="H20" s="36">
        <f t="shared" si="9"/>
        <v>0</v>
      </c>
      <c r="I20" s="35">
        <f>1.25*39.2</f>
        <v>49</v>
      </c>
      <c r="J20" s="36">
        <f t="shared" si="10"/>
        <v>0.055178191776872894</v>
      </c>
      <c r="K20" s="35">
        <v>0</v>
      </c>
      <c r="L20" s="36">
        <f t="shared" si="11"/>
        <v>0</v>
      </c>
      <c r="M20" s="35">
        <v>0</v>
      </c>
      <c r="N20" s="36">
        <f t="shared" si="12"/>
        <v>0</v>
      </c>
      <c r="O20" s="35">
        <f>1.25*78.4</f>
        <v>98</v>
      </c>
      <c r="P20" s="36">
        <f t="shared" si="13"/>
        <v>0.08033939294570941</v>
      </c>
      <c r="Q20" s="18"/>
    </row>
    <row r="21" spans="1:17" ht="15">
      <c r="A21" s="20"/>
      <c r="B21" s="28" t="s">
        <v>48</v>
      </c>
      <c r="C21" s="35">
        <v>108</v>
      </c>
      <c r="D21" s="36">
        <f t="shared" si="7"/>
        <v>0.15004688965301657</v>
      </c>
      <c r="E21" s="35">
        <v>202</v>
      </c>
      <c r="F21" s="36">
        <f t="shared" si="8"/>
        <v>0.2994817631173382</v>
      </c>
      <c r="G21" s="35">
        <v>146</v>
      </c>
      <c r="H21" s="36">
        <f t="shared" si="9"/>
        <v>0.16359863204650682</v>
      </c>
      <c r="I21" s="35">
        <v>120</v>
      </c>
      <c r="J21" s="36">
        <f t="shared" si="10"/>
        <v>0.13513026557601526</v>
      </c>
      <c r="K21" s="35">
        <v>31</v>
      </c>
      <c r="L21" s="36">
        <f t="shared" si="11"/>
        <v>0.02654744864032103</v>
      </c>
      <c r="M21" s="35">
        <v>240</v>
      </c>
      <c r="N21" s="36">
        <f t="shared" si="12"/>
        <v>0.18541099388694157</v>
      </c>
      <c r="O21" s="35">
        <v>270</v>
      </c>
      <c r="P21" s="36">
        <f t="shared" si="13"/>
        <v>0.2213432254626688</v>
      </c>
      <c r="Q21" s="18"/>
    </row>
    <row r="22" spans="1:17" ht="15">
      <c r="A22" s="20"/>
      <c r="B22" s="28" t="s">
        <v>60</v>
      </c>
      <c r="C22" s="35">
        <f>1.25*2440.8</f>
        <v>3051</v>
      </c>
      <c r="D22" s="36">
        <f t="shared" si="7"/>
        <v>4.238824632697718</v>
      </c>
      <c r="E22" s="35">
        <f>1.25*3441.36</f>
        <v>4301.7</v>
      </c>
      <c r="F22" s="36">
        <f t="shared" si="8"/>
        <v>6.3776272297121475</v>
      </c>
      <c r="G22" s="35">
        <f>1.25*3172.4</f>
        <v>3965.5</v>
      </c>
      <c r="H22" s="36">
        <f t="shared" si="9"/>
        <v>4.443495721783718</v>
      </c>
      <c r="I22" s="35">
        <f>1.25*3359.6</f>
        <v>4199.5</v>
      </c>
      <c r="J22" s="36">
        <f t="shared" si="10"/>
        <v>4.728996252387301</v>
      </c>
      <c r="K22" s="35">
        <f>1.25*3867.44</f>
        <v>4834.3</v>
      </c>
      <c r="L22" s="36">
        <f t="shared" si="11"/>
        <v>4.1399461600614185</v>
      </c>
      <c r="M22" s="35">
        <f>1.25*3934.73</f>
        <v>4918.4125</v>
      </c>
      <c r="N22" s="36">
        <f t="shared" si="12"/>
        <v>3.799698958212321</v>
      </c>
      <c r="O22" s="35">
        <f>1.25*3896</f>
        <v>4870</v>
      </c>
      <c r="P22" s="36">
        <f t="shared" si="13"/>
        <v>3.9923759555673963</v>
      </c>
      <c r="Q22" s="18"/>
    </row>
    <row r="23" spans="1:17" ht="15">
      <c r="A23" s="20"/>
      <c r="B23" s="28" t="s">
        <v>49</v>
      </c>
      <c r="C23" s="35">
        <f>1.25*1091.88</f>
        <v>1364.8500000000001</v>
      </c>
      <c r="D23" s="36">
        <f t="shared" si="7"/>
        <v>1.896217567989997</v>
      </c>
      <c r="E23" s="35">
        <f>1.25*(347.2)</f>
        <v>434</v>
      </c>
      <c r="F23" s="36">
        <f t="shared" si="8"/>
        <v>0.6434410158065583</v>
      </c>
      <c r="G23" s="35">
        <f>1.25*1210.4</f>
        <v>1513</v>
      </c>
      <c r="H23" s="36">
        <f t="shared" si="9"/>
        <v>1.6953748649751015</v>
      </c>
      <c r="I23" s="35">
        <f>1.25*1219.28</f>
        <v>1524.1</v>
      </c>
      <c r="J23" s="36">
        <f t="shared" si="10"/>
        <v>1.7162669813700404</v>
      </c>
      <c r="K23" s="35">
        <f>1.25*4566.4</f>
        <v>5708</v>
      </c>
      <c r="L23" s="36">
        <f t="shared" si="11"/>
        <v>4.8881560270629825</v>
      </c>
      <c r="M23" s="35">
        <f>1.25*2627.28</f>
        <v>3284.1000000000004</v>
      </c>
      <c r="N23" s="36">
        <f t="shared" si="12"/>
        <v>2.537117687600437</v>
      </c>
      <c r="O23" s="35">
        <f>1.25*4334.08</f>
        <v>5417.6</v>
      </c>
      <c r="P23" s="36">
        <f t="shared" si="13"/>
        <v>4.441292808394646</v>
      </c>
      <c r="Q23" s="18"/>
    </row>
    <row r="24" spans="1:17" ht="15.75" thickBot="1">
      <c r="A24" s="20"/>
      <c r="B24" s="28" t="s">
        <v>50</v>
      </c>
      <c r="C24" s="35">
        <f>1.25*67.2</f>
        <v>84</v>
      </c>
      <c r="D24" s="36">
        <f t="shared" si="7"/>
        <v>0.11670313639679067</v>
      </c>
      <c r="E24" s="35">
        <f>1.25*59.6</f>
        <v>74.5</v>
      </c>
      <c r="F24" s="36">
        <f t="shared" si="8"/>
        <v>0.11045243243684008</v>
      </c>
      <c r="G24" s="35">
        <f>1.25*81.2</f>
        <v>101.5</v>
      </c>
      <c r="H24" s="36">
        <f t="shared" si="9"/>
        <v>0.11373466542959207</v>
      </c>
      <c r="I24" s="35">
        <f>1.25*46</f>
        <v>57.5</v>
      </c>
      <c r="J24" s="36">
        <f t="shared" si="10"/>
        <v>0.06474991892184065</v>
      </c>
      <c r="K24" s="35">
        <f>1.25*66</f>
        <v>82.5</v>
      </c>
      <c r="L24" s="36">
        <f t="shared" si="11"/>
        <v>0.07065046815569306</v>
      </c>
      <c r="M24" s="35">
        <f>1.25*96</f>
        <v>120</v>
      </c>
      <c r="N24" s="36">
        <f t="shared" si="12"/>
        <v>0.09270549694347079</v>
      </c>
      <c r="O24" s="35">
        <f>1.25*71.44</f>
        <v>89.3</v>
      </c>
      <c r="P24" s="36">
        <f t="shared" si="13"/>
        <v>0.07320722234746786</v>
      </c>
      <c r="Q24" s="18"/>
    </row>
    <row r="25" spans="1:17" ht="16.5" thickBot="1" thickTop="1">
      <c r="A25" s="20"/>
      <c r="B25" s="27" t="s">
        <v>9</v>
      </c>
      <c r="C25" s="33">
        <f>SUM(C4:C24)</f>
        <v>71950.5</v>
      </c>
      <c r="D25" s="34"/>
      <c r="E25" s="33">
        <f>SUM(E4:E24)</f>
        <v>67399.35</v>
      </c>
      <c r="F25" s="34"/>
      <c r="G25" s="33">
        <f>SUM(G4:G24)</f>
        <v>89206.3</v>
      </c>
      <c r="H25" s="34"/>
      <c r="I25" s="33">
        <f>SUM(I4:I24)</f>
        <v>88773.20000000001</v>
      </c>
      <c r="J25" s="34"/>
      <c r="K25" s="33">
        <f>SUM(K4:K24)</f>
        <v>116764.30000000002</v>
      </c>
      <c r="L25" s="34"/>
      <c r="M25" s="33">
        <f>SUM(M4:M24)</f>
        <v>129382.1625</v>
      </c>
      <c r="N25" s="34"/>
      <c r="O25" s="33">
        <f>SUM(O4:O24)</f>
        <v>121915.00000000001</v>
      </c>
      <c r="P25" s="34"/>
      <c r="Q25" s="18"/>
    </row>
    <row r="26" spans="1:17" ht="16.5" thickBot="1" thickTop="1">
      <c r="A26" s="20"/>
      <c r="B26" s="27" t="s">
        <v>10</v>
      </c>
      <c r="C26" s="33">
        <f>C25*0.8+C21*0.2</f>
        <v>57582</v>
      </c>
      <c r="D26" s="34"/>
      <c r="E26" s="33">
        <f>E25*0.8+E21*0.2</f>
        <v>53959.88000000001</v>
      </c>
      <c r="F26" s="34"/>
      <c r="G26" s="33">
        <f>G25*0.8+G21*0.2</f>
        <v>71394.24</v>
      </c>
      <c r="H26" s="34"/>
      <c r="I26" s="33">
        <f>I25*0.8+I21*0.2</f>
        <v>71042.56000000001</v>
      </c>
      <c r="J26" s="34"/>
      <c r="K26" s="33">
        <f>K25*0.8+K21*0.2</f>
        <v>93417.64000000001</v>
      </c>
      <c r="L26" s="34"/>
      <c r="M26" s="33">
        <f>M25*0.8+M21*0.2</f>
        <v>103553.73000000001</v>
      </c>
      <c r="N26" s="34"/>
      <c r="O26" s="33">
        <f>O25*0.8+O21*0.2</f>
        <v>97586.00000000001</v>
      </c>
      <c r="P26" s="34"/>
      <c r="Q26" s="18"/>
    </row>
    <row r="27" spans="1:17" ht="16.5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6.5" thickBot="1" thickTop="1">
      <c r="A28" s="32"/>
      <c r="B28" s="27" t="s">
        <v>11</v>
      </c>
      <c r="C28" s="38"/>
      <c r="D28" s="5">
        <v>26</v>
      </c>
      <c r="E28" s="38"/>
      <c r="F28" s="5">
        <v>24</v>
      </c>
      <c r="G28" s="38"/>
      <c r="H28" s="5">
        <v>27</v>
      </c>
      <c r="I28" s="38"/>
      <c r="J28" s="5">
        <v>22</v>
      </c>
      <c r="K28" s="38"/>
      <c r="L28" s="5">
        <v>25</v>
      </c>
      <c r="M28" s="38"/>
      <c r="N28" s="5">
        <v>25</v>
      </c>
      <c r="O28" s="38"/>
      <c r="P28" s="5">
        <v>26</v>
      </c>
      <c r="Q28" s="57"/>
    </row>
    <row r="29" spans="1:17" ht="16.5" thickBot="1" thickTop="1">
      <c r="A29" s="20"/>
      <c r="B29" s="27" t="s">
        <v>12</v>
      </c>
      <c r="C29" s="38">
        <f>C25/D28</f>
        <v>2767.326923076923</v>
      </c>
      <c r="D29" s="37"/>
      <c r="E29" s="38">
        <f>E25/F28</f>
        <v>2808.30625</v>
      </c>
      <c r="F29" s="37"/>
      <c r="G29" s="38">
        <f>G25/H28</f>
        <v>3303.937037037037</v>
      </c>
      <c r="H29" s="37"/>
      <c r="I29" s="38">
        <f>I25/J28</f>
        <v>4035.145454545455</v>
      </c>
      <c r="J29" s="37"/>
      <c r="K29" s="38">
        <f>K25/L28</f>
        <v>4670.572000000001</v>
      </c>
      <c r="L29" s="37"/>
      <c r="M29" s="38">
        <f>M25/N28</f>
        <v>5175.2865</v>
      </c>
      <c r="N29" s="37"/>
      <c r="O29" s="38">
        <f>O25/P28</f>
        <v>4689.038461538462</v>
      </c>
      <c r="P29" s="37"/>
      <c r="Q29" s="19"/>
    </row>
    <row r="30" spans="1:17" ht="16.5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6.5" thickBot="1" thickTop="1">
      <c r="A31" s="32"/>
      <c r="B31" s="27" t="s">
        <v>64</v>
      </c>
      <c r="C31" s="38">
        <v>2320</v>
      </c>
      <c r="D31" s="37"/>
      <c r="E31" s="38">
        <v>2800</v>
      </c>
      <c r="F31" s="37"/>
      <c r="G31" s="38">
        <v>3317</v>
      </c>
      <c r="H31" s="37"/>
      <c r="I31" s="38">
        <v>3446</v>
      </c>
      <c r="J31" s="37"/>
      <c r="K31" s="38">
        <v>3866</v>
      </c>
      <c r="L31" s="37"/>
      <c r="M31" s="38">
        <v>4686</v>
      </c>
      <c r="N31" s="37"/>
      <c r="O31" s="38">
        <v>4024</v>
      </c>
      <c r="P31" s="37"/>
      <c r="Q31" s="56"/>
    </row>
    <row r="32" spans="1:17" ht="16.5" thickBot="1" thickTop="1">
      <c r="A32" s="32"/>
      <c r="B32" s="52" t="s">
        <v>62</v>
      </c>
      <c r="C32" s="53">
        <v>2243</v>
      </c>
      <c r="D32" s="54"/>
      <c r="E32" s="53">
        <v>2854</v>
      </c>
      <c r="F32" s="54"/>
      <c r="G32" s="53">
        <v>2718</v>
      </c>
      <c r="H32" s="54"/>
      <c r="I32" s="53">
        <v>3372</v>
      </c>
      <c r="J32" s="54"/>
      <c r="K32" s="53">
        <v>3743</v>
      </c>
      <c r="L32" s="54"/>
      <c r="M32" s="53">
        <v>3462</v>
      </c>
      <c r="N32" s="54"/>
      <c r="O32" s="53">
        <v>3857</v>
      </c>
      <c r="P32" s="55"/>
      <c r="Q32" s="56"/>
    </row>
    <row r="33" spans="1:17" ht="16.5" thickBot="1" thickTop="1">
      <c r="A33" s="20"/>
      <c r="B33" s="26"/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9"/>
      <c r="P33" s="32"/>
      <c r="Q33" s="20"/>
    </row>
    <row r="34" spans="1:17" ht="16.5" thickBot="1" thickTop="1">
      <c r="A34" s="20"/>
      <c r="B34" s="27" t="s">
        <v>0</v>
      </c>
      <c r="C34" s="49" t="s">
        <v>13</v>
      </c>
      <c r="D34" s="47" t="s">
        <v>2</v>
      </c>
      <c r="E34" s="49" t="s">
        <v>14</v>
      </c>
      <c r="F34" s="47" t="s">
        <v>2</v>
      </c>
      <c r="G34" s="49" t="s">
        <v>15</v>
      </c>
      <c r="H34" s="47" t="s">
        <v>2</v>
      </c>
      <c r="I34" s="49" t="s">
        <v>16</v>
      </c>
      <c r="J34" s="47" t="s">
        <v>2</v>
      </c>
      <c r="K34" s="49" t="s">
        <v>17</v>
      </c>
      <c r="L34" s="47" t="s">
        <v>2</v>
      </c>
      <c r="M34" s="49" t="s">
        <v>18</v>
      </c>
      <c r="N34" s="48"/>
      <c r="O34" s="50" t="s">
        <v>19</v>
      </c>
      <c r="P34" s="47" t="s">
        <v>2</v>
      </c>
      <c r="Q34" s="18"/>
    </row>
    <row r="35" spans="1:17" ht="15.75" thickTop="1">
      <c r="A35" s="20"/>
      <c r="B35" s="27" t="s">
        <v>31</v>
      </c>
      <c r="C35" s="33">
        <f>1.25*4088.48</f>
        <v>5110.6</v>
      </c>
      <c r="D35" s="34">
        <f aca="true" t="shared" si="14" ref="D35:D45">80*C35/C$57</f>
        <v>4.440551332687818</v>
      </c>
      <c r="E35" s="33">
        <f>1.25*3386</f>
        <v>4232.5</v>
      </c>
      <c r="F35" s="34">
        <f aca="true" t="shared" si="15" ref="F35:F45">80*E35/E$57</f>
        <v>4.5575391334591755</v>
      </c>
      <c r="G35" s="33">
        <f>1.25*2839.04</f>
        <v>3548.8</v>
      </c>
      <c r="H35" s="34">
        <f aca="true" t="shared" si="16" ref="H35:H45">80*G35/G$57</f>
        <v>4.4678023757861425</v>
      </c>
      <c r="I35" s="33">
        <f>1.25*3159.12</f>
        <v>3948.8999999999996</v>
      </c>
      <c r="J35" s="34">
        <f aca="true" t="shared" si="17" ref="J35:J45">80*I35/I$57</f>
        <v>3.350090573082329</v>
      </c>
      <c r="K35" s="33">
        <f>1.25*10598.56</f>
        <v>13248.199999999999</v>
      </c>
      <c r="L35" s="34">
        <f aca="true" t="shared" si="18" ref="L35:L45">80*K35/K$57</f>
        <v>4.5008996227563784</v>
      </c>
      <c r="M35" s="33"/>
      <c r="N35" s="40"/>
      <c r="O35" s="38">
        <f aca="true" t="shared" si="19" ref="O35:O55">C4+E4+G4+I4+K4+M4+O4+C35+E35+G35+I35+K35+M35</f>
        <v>60270.9</v>
      </c>
      <c r="P35" s="34">
        <f aca="true" t="shared" si="20" ref="P35:P45">O35*80/$O$57</f>
        <v>4.350816069019501</v>
      </c>
      <c r="Q35" s="18"/>
    </row>
    <row r="36" spans="1:17" ht="15">
      <c r="A36" s="20"/>
      <c r="B36" s="28" t="s">
        <v>32</v>
      </c>
      <c r="C36" s="35">
        <f>1.25*6143.6</f>
        <v>7679.5</v>
      </c>
      <c r="D36" s="36">
        <f t="shared" si="14"/>
        <v>6.67264390861662</v>
      </c>
      <c r="E36" s="35">
        <f>1.25*8199.6</f>
        <v>10249.5</v>
      </c>
      <c r="F36" s="36">
        <f t="shared" si="15"/>
        <v>11.036620755673908</v>
      </c>
      <c r="G36" s="35">
        <f>1.25*3908</f>
        <v>4885</v>
      </c>
      <c r="H36" s="36">
        <f t="shared" si="16"/>
        <v>6.1500266585085965</v>
      </c>
      <c r="I36" s="35">
        <f>1.25*4536.4</f>
        <v>5670.5</v>
      </c>
      <c r="J36" s="36">
        <f t="shared" si="17"/>
        <v>4.810627920348286</v>
      </c>
      <c r="K36" s="35">
        <f>1.25*11238.4</f>
        <v>14048</v>
      </c>
      <c r="L36" s="36">
        <f t="shared" si="18"/>
        <v>4.772621027798614</v>
      </c>
      <c r="M36" s="35"/>
      <c r="N36" s="41"/>
      <c r="O36" s="42">
        <f t="shared" si="19"/>
        <v>84144.3</v>
      </c>
      <c r="P36" s="36">
        <f t="shared" si="20"/>
        <v>6.074181280790524</v>
      </c>
      <c r="Q36" s="18"/>
    </row>
    <row r="37" spans="1:17" ht="15">
      <c r="A37" s="20"/>
      <c r="B37" s="28" t="s">
        <v>33</v>
      </c>
      <c r="C37" s="35">
        <f>1.25*5919.85</f>
        <v>7399.8125</v>
      </c>
      <c r="D37" s="36">
        <f t="shared" si="14"/>
        <v>6.429626121886858</v>
      </c>
      <c r="E37" s="35">
        <f>1.25*3571.6</f>
        <v>4464.5</v>
      </c>
      <c r="F37" s="36">
        <f t="shared" si="15"/>
        <v>4.807355808937623</v>
      </c>
      <c r="G37" s="35">
        <f>1.25*2671.2</f>
        <v>3339</v>
      </c>
      <c r="H37" s="36">
        <f t="shared" si="16"/>
        <v>4.2036722646387314</v>
      </c>
      <c r="I37" s="35">
        <f>1.25*4070.4</f>
        <v>5088</v>
      </c>
      <c r="J37" s="36">
        <f t="shared" si="17"/>
        <v>4.316457959391955</v>
      </c>
      <c r="K37" s="35">
        <f>1.25*10057.6</f>
        <v>12572</v>
      </c>
      <c r="L37" s="36">
        <f t="shared" si="18"/>
        <v>4.271169672656903</v>
      </c>
      <c r="M37" s="35"/>
      <c r="N37" s="41"/>
      <c r="O37" s="42">
        <f t="shared" si="19"/>
        <v>65502.8125</v>
      </c>
      <c r="P37" s="36">
        <f t="shared" si="20"/>
        <v>4.7284956619358836</v>
      </c>
      <c r="Q37" s="18"/>
    </row>
    <row r="38" spans="1:17" ht="15">
      <c r="A38" s="20"/>
      <c r="B38" s="28" t="s">
        <v>34</v>
      </c>
      <c r="C38" s="35">
        <f>1.25*2880.8</f>
        <v>3601</v>
      </c>
      <c r="D38" s="36">
        <f t="shared" si="14"/>
        <v>3.128874368764692</v>
      </c>
      <c r="E38" s="35">
        <f>1.25*4236</f>
        <v>5295</v>
      </c>
      <c r="F38" s="36">
        <f t="shared" si="15"/>
        <v>5.701634899389565</v>
      </c>
      <c r="G38" s="35">
        <f>1.25*7140</f>
        <v>8925</v>
      </c>
      <c r="H38" s="36">
        <f t="shared" si="16"/>
        <v>11.236230896046923</v>
      </c>
      <c r="I38" s="35">
        <f>1.25*9518.32</f>
        <v>11897.9</v>
      </c>
      <c r="J38" s="36">
        <f t="shared" si="17"/>
        <v>10.093707774184265</v>
      </c>
      <c r="K38" s="35">
        <f>1.25*20510.4</f>
        <v>25638</v>
      </c>
      <c r="L38" s="36">
        <f t="shared" si="18"/>
        <v>8.710169270408661</v>
      </c>
      <c r="M38" s="35"/>
      <c r="N38" s="41"/>
      <c r="O38" s="42">
        <f t="shared" si="19"/>
        <v>91583.55</v>
      </c>
      <c r="P38" s="36">
        <f t="shared" si="20"/>
        <v>6.6112034331302665</v>
      </c>
      <c r="Q38" s="18"/>
    </row>
    <row r="39" spans="1:17" ht="15">
      <c r="A39" s="20"/>
      <c r="B39" s="28" t="s">
        <v>35</v>
      </c>
      <c r="C39" s="35">
        <f>1.25*8036</f>
        <v>10045</v>
      </c>
      <c r="D39" s="36">
        <f t="shared" si="14"/>
        <v>8.72800417501842</v>
      </c>
      <c r="E39" s="35">
        <f>1.25*4949.28</f>
        <v>6186.599999999999</v>
      </c>
      <c r="F39" s="36">
        <f t="shared" si="15"/>
        <v>6.661706226357597</v>
      </c>
      <c r="G39" s="35">
        <f>1.25*5905.6</f>
        <v>7382</v>
      </c>
      <c r="H39" s="36">
        <f t="shared" si="16"/>
        <v>9.293653386511865</v>
      </c>
      <c r="I39" s="35">
        <f>1.25*6393.6</f>
        <v>7992</v>
      </c>
      <c r="J39" s="36">
        <f t="shared" si="17"/>
        <v>6.780096700365665</v>
      </c>
      <c r="K39" s="35">
        <f>1.25*15031.2</f>
        <v>18789</v>
      </c>
      <c r="L39" s="36">
        <f t="shared" si="18"/>
        <v>6.383312677342551</v>
      </c>
      <c r="M39" s="35"/>
      <c r="N39" s="41"/>
      <c r="O39" s="42">
        <f t="shared" si="19"/>
        <v>98656</v>
      </c>
      <c r="P39" s="36">
        <f t="shared" si="20"/>
        <v>7.121747146719029</v>
      </c>
      <c r="Q39" s="18"/>
    </row>
    <row r="40" spans="1:17" ht="15">
      <c r="A40" s="20"/>
      <c r="B40" s="28" t="s">
        <v>51</v>
      </c>
      <c r="C40" s="35">
        <f>1.25*3196.8</f>
        <v>3996</v>
      </c>
      <c r="D40" s="36">
        <f t="shared" si="14"/>
        <v>3.472086080972982</v>
      </c>
      <c r="E40" s="35">
        <f>1.25*2498.88</f>
        <v>3123.6000000000004</v>
      </c>
      <c r="F40" s="36">
        <f t="shared" si="15"/>
        <v>3.3634800324330967</v>
      </c>
      <c r="G40" s="35">
        <f>1.25*993.6</f>
        <v>1242</v>
      </c>
      <c r="H40" s="36">
        <f t="shared" si="16"/>
        <v>1.563630114609555</v>
      </c>
      <c r="I40" s="35">
        <f>1.25*1688.8</f>
        <v>2111</v>
      </c>
      <c r="J40" s="36">
        <f t="shared" si="17"/>
        <v>1.7908889057147046</v>
      </c>
      <c r="K40" s="35">
        <f>1.25*3287.2</f>
        <v>4109</v>
      </c>
      <c r="L40" s="36">
        <f t="shared" si="18"/>
        <v>1.3959780611634756</v>
      </c>
      <c r="M40" s="35"/>
      <c r="N40" s="41"/>
      <c r="O40" s="42">
        <f t="shared" si="19"/>
        <v>34047.7</v>
      </c>
      <c r="P40" s="36">
        <f t="shared" si="20"/>
        <v>2.4578242613459444</v>
      </c>
      <c r="Q40" s="18"/>
    </row>
    <row r="41" spans="1:17" ht="15">
      <c r="A41" s="20"/>
      <c r="B41" s="28" t="s">
        <v>37</v>
      </c>
      <c r="C41" s="35">
        <f>1.25*14866.4</f>
        <v>18583</v>
      </c>
      <c r="D41" s="36">
        <f t="shared" si="14"/>
        <v>16.14659050118141</v>
      </c>
      <c r="E41" s="35">
        <f>1.25*10452</f>
        <v>13065</v>
      </c>
      <c r="F41" s="36">
        <f t="shared" si="15"/>
        <v>14.068339935887566</v>
      </c>
      <c r="G41" s="35">
        <f>1.25*7384</f>
        <v>9230</v>
      </c>
      <c r="H41" s="36">
        <f t="shared" si="16"/>
        <v>11.62021413675217</v>
      </c>
      <c r="I41" s="35">
        <f>1.25*4116</f>
        <v>5145</v>
      </c>
      <c r="J41" s="36">
        <f t="shared" si="17"/>
        <v>4.364814504927596</v>
      </c>
      <c r="K41" s="35">
        <f>1.25*14439.2</f>
        <v>18049</v>
      </c>
      <c r="L41" s="36">
        <f t="shared" si="18"/>
        <v>6.131907526390745</v>
      </c>
      <c r="M41" s="35"/>
      <c r="N41" s="41"/>
      <c r="O41" s="42">
        <f t="shared" si="19"/>
        <v>211660.5</v>
      </c>
      <c r="P41" s="36">
        <f t="shared" si="20"/>
        <v>15.279279131001896</v>
      </c>
      <c r="Q41" s="18"/>
    </row>
    <row r="42" spans="1:17" ht="15">
      <c r="A42" s="20"/>
      <c r="B42" s="28" t="s">
        <v>38</v>
      </c>
      <c r="C42" s="35">
        <f>1.25*12114.4</f>
        <v>15143</v>
      </c>
      <c r="D42" s="36">
        <f t="shared" si="14"/>
        <v>13.157607488531998</v>
      </c>
      <c r="E42" s="35">
        <f>1.25*9941.28</f>
        <v>12426.6</v>
      </c>
      <c r="F42" s="36">
        <f t="shared" si="15"/>
        <v>13.380913359915839</v>
      </c>
      <c r="G42" s="35">
        <f>1.25*6445.44</f>
        <v>8056.799999999999</v>
      </c>
      <c r="H42" s="36">
        <f t="shared" si="16"/>
        <v>10.143200569554157</v>
      </c>
      <c r="I42" s="35">
        <f>1.25*12498.4</f>
        <v>15623</v>
      </c>
      <c r="J42" s="36">
        <f t="shared" si="17"/>
        <v>13.253935279005603</v>
      </c>
      <c r="K42" s="35">
        <f>1.25*35926.32</f>
        <v>44907.9</v>
      </c>
      <c r="L42" s="36">
        <f t="shared" si="18"/>
        <v>15.25686132220084</v>
      </c>
      <c r="M42" s="35"/>
      <c r="N42" s="41"/>
      <c r="O42" s="42">
        <f t="shared" si="19"/>
        <v>179723.30000000002</v>
      </c>
      <c r="P42" s="36">
        <f t="shared" si="20"/>
        <v>12.973806955217404</v>
      </c>
      <c r="Q42" s="18"/>
    </row>
    <row r="43" spans="1:17" ht="15">
      <c r="A43" s="20"/>
      <c r="B43" s="28" t="s">
        <v>39</v>
      </c>
      <c r="C43" s="35">
        <f>4921.6*1.25-C44</f>
        <v>5690</v>
      </c>
      <c r="D43" s="36">
        <f t="shared" si="14"/>
        <v>4.943986436620688</v>
      </c>
      <c r="E43" s="35">
        <f>1.25*3903.6-E44</f>
        <v>3767.5</v>
      </c>
      <c r="F43" s="36">
        <f t="shared" si="15"/>
        <v>4.056828986487287</v>
      </c>
      <c r="G43" s="35">
        <f>1.25*3949.2-G44</f>
        <v>4102.5</v>
      </c>
      <c r="H43" s="36">
        <f t="shared" si="16"/>
        <v>5.16488932784678</v>
      </c>
      <c r="I43" s="35">
        <f>1.25*6787.68-I44</f>
        <v>7094.6</v>
      </c>
      <c r="J43" s="36">
        <f t="shared" si="17"/>
        <v>6.018778034336117</v>
      </c>
      <c r="K43" s="35">
        <f>1.25*16859.2-K44</f>
        <v>18016</v>
      </c>
      <c r="L43" s="36">
        <f t="shared" si="18"/>
        <v>6.120696215605056</v>
      </c>
      <c r="M43" s="35"/>
      <c r="N43" s="41"/>
      <c r="O43" s="42">
        <f t="shared" si="19"/>
        <v>62608.25</v>
      </c>
      <c r="P43" s="36">
        <f t="shared" si="20"/>
        <v>4.519543928383187</v>
      </c>
      <c r="Q43" s="18"/>
    </row>
    <row r="44" spans="1:17" ht="15">
      <c r="A44" s="20"/>
      <c r="B44" s="28" t="s">
        <v>40</v>
      </c>
      <c r="C44" s="35">
        <f>1.25*369.6</f>
        <v>462</v>
      </c>
      <c r="D44" s="36">
        <f t="shared" si="14"/>
        <v>0.4014273697221015</v>
      </c>
      <c r="E44" s="35">
        <f>1.25*889.6</f>
        <v>1112</v>
      </c>
      <c r="F44" s="36">
        <f t="shared" si="15"/>
        <v>1.1973971686725582</v>
      </c>
      <c r="G44" s="35">
        <f>1.25*667.2</f>
        <v>834</v>
      </c>
      <c r="H44" s="36">
        <f t="shared" si="16"/>
        <v>1.0499738450759815</v>
      </c>
      <c r="I44" s="35">
        <f>1.25*1112</f>
        <v>1390</v>
      </c>
      <c r="J44" s="36">
        <f t="shared" si="17"/>
        <v>1.1792210227112456</v>
      </c>
      <c r="K44" s="35">
        <f>1.25*2446.4</f>
        <v>3058</v>
      </c>
      <c r="L44" s="36">
        <f t="shared" si="18"/>
        <v>1.0389147994738157</v>
      </c>
      <c r="M44" s="35"/>
      <c r="N44" s="41"/>
      <c r="O44" s="42">
        <f t="shared" si="19"/>
        <v>15269.5</v>
      </c>
      <c r="P44" s="36">
        <f t="shared" si="20"/>
        <v>1.1022696851364966</v>
      </c>
      <c r="Q44" s="18"/>
    </row>
    <row r="45" spans="1:17" ht="15">
      <c r="A45" s="20"/>
      <c r="B45" s="28" t="s">
        <v>41</v>
      </c>
      <c r="C45" s="35">
        <f>1.25*4944</f>
        <v>6180</v>
      </c>
      <c r="D45" s="36">
        <f t="shared" si="14"/>
        <v>5.369742737841098</v>
      </c>
      <c r="E45" s="35">
        <f>1.25*5763.24</f>
        <v>7204.049999999999</v>
      </c>
      <c r="F45" s="36">
        <f t="shared" si="15"/>
        <v>7.757292331812539</v>
      </c>
      <c r="G45" s="35">
        <f>1.25*4153.2</f>
        <v>5191.5</v>
      </c>
      <c r="H45" s="36">
        <f t="shared" si="16"/>
        <v>6.535898341381244</v>
      </c>
      <c r="I45" s="35">
        <f>1.25*6055.2</f>
        <v>7569</v>
      </c>
      <c r="J45" s="36">
        <f t="shared" si="17"/>
        <v>6.4212402308643295</v>
      </c>
      <c r="K45" s="35">
        <f>1.25*23046.32</f>
        <v>28807.9</v>
      </c>
      <c r="L45" s="36">
        <f t="shared" si="18"/>
        <v>9.787100605546675</v>
      </c>
      <c r="M45" s="35"/>
      <c r="N45" s="41"/>
      <c r="O45" s="42">
        <f t="shared" si="19"/>
        <v>103551.35</v>
      </c>
      <c r="P45" s="36">
        <f t="shared" si="20"/>
        <v>7.4751310756710545</v>
      </c>
      <c r="Q45" s="18"/>
    </row>
    <row r="46" spans="1:17" ht="15">
      <c r="A46" s="20"/>
      <c r="B46" s="28" t="s">
        <v>42</v>
      </c>
      <c r="C46" s="35">
        <f>1.25*5187.68</f>
        <v>6484.6</v>
      </c>
      <c r="D46" s="36">
        <f>100*C46/C$57</f>
        <v>7.043008446157845</v>
      </c>
      <c r="E46" s="35">
        <f>1.25*3771.6</f>
        <v>4714.5</v>
      </c>
      <c r="F46" s="36">
        <f>100*E46/E$57</f>
        <v>6.345693515857437</v>
      </c>
      <c r="G46" s="35">
        <f>1.25*4447.36</f>
        <v>5559.2</v>
      </c>
      <c r="H46" s="36">
        <f>100*G46/G$57</f>
        <v>8.74852308085491</v>
      </c>
      <c r="I46" s="35">
        <f>1.25*6413.76</f>
        <v>8017.200000000001</v>
      </c>
      <c r="J46" s="36">
        <f>100*I46/I$57</f>
        <v>8.501844229568885</v>
      </c>
      <c r="K46" s="35">
        <f>1.25*15163.76</f>
        <v>18954.7</v>
      </c>
      <c r="L46" s="36">
        <f>100*K46/K$57</f>
        <v>8.04950880869291</v>
      </c>
      <c r="M46" s="35"/>
      <c r="N46" s="41"/>
      <c r="O46" s="42">
        <f t="shared" si="19"/>
        <v>71424.34999999999</v>
      </c>
      <c r="P46" s="36">
        <f>O46*100/$O$57</f>
        <v>6.444947099248414</v>
      </c>
      <c r="Q46" s="18"/>
    </row>
    <row r="47" spans="1:17" ht="15">
      <c r="A47" s="20"/>
      <c r="B47" s="28" t="s">
        <v>43</v>
      </c>
      <c r="C47" s="35">
        <f>1.25*3019.68</f>
        <v>3774.6</v>
      </c>
      <c r="D47" s="36">
        <f aca="true" t="shared" si="21" ref="D47:D55">80*C47/C$57</f>
        <v>3.2797137440542086</v>
      </c>
      <c r="E47" s="35">
        <f>1.25*1968.8</f>
        <v>2461</v>
      </c>
      <c r="F47" s="36">
        <f aca="true" t="shared" si="22" ref="F47:F55">80*E47/E$57</f>
        <v>2.6499949928985305</v>
      </c>
      <c r="G47" s="35">
        <f>1.25*2985.6</f>
        <v>3732</v>
      </c>
      <c r="H47" s="36">
        <f aca="true" t="shared" si="23" ref="H47:H55">80*G47/G$57</f>
        <v>4.698444112498277</v>
      </c>
      <c r="I47" s="35">
        <f>1.25*3219.62</f>
        <v>4024.5249999999996</v>
      </c>
      <c r="J47" s="36">
        <f aca="true" t="shared" si="24" ref="J47:J55">80*I47/I$57</f>
        <v>3.4142478319618528</v>
      </c>
      <c r="K47" s="35">
        <f>1.25*5024.8</f>
        <v>6281</v>
      </c>
      <c r="L47" s="36">
        <f aca="true" t="shared" si="25" ref="L47:L55">80*K47/K$57</f>
        <v>2.1338861528760744</v>
      </c>
      <c r="M47" s="35"/>
      <c r="N47" s="41"/>
      <c r="O47" s="42">
        <f t="shared" si="19"/>
        <v>45810.125</v>
      </c>
      <c r="P47" s="36">
        <f aca="true" t="shared" si="26" ref="P47:P55">O47*80/$O$57</f>
        <v>3.30692636037942</v>
      </c>
      <c r="Q47" s="18"/>
    </row>
    <row r="48" spans="1:17" ht="15">
      <c r="A48" s="20"/>
      <c r="B48" s="28" t="s">
        <v>44</v>
      </c>
      <c r="C48" s="35">
        <f>1.25*2901.6</f>
        <v>3627</v>
      </c>
      <c r="D48" s="36">
        <f t="shared" si="21"/>
        <v>3.151465519441693</v>
      </c>
      <c r="E48" s="35">
        <f>1.25*2833.36</f>
        <v>3541.7000000000003</v>
      </c>
      <c r="F48" s="36">
        <f t="shared" si="22"/>
        <v>3.813688446301798</v>
      </c>
      <c r="G48" s="35">
        <f>1.25*2588.8</f>
        <v>3236</v>
      </c>
      <c r="H48" s="36">
        <f t="shared" si="23"/>
        <v>4.073999235810403</v>
      </c>
      <c r="I48" s="35">
        <f>1.25*3301.2</f>
        <v>4126.5</v>
      </c>
      <c r="J48" s="36">
        <f t="shared" si="24"/>
        <v>3.5007593886460104</v>
      </c>
      <c r="K48" s="35">
        <f>1.25*7466.4</f>
        <v>9333</v>
      </c>
      <c r="L48" s="36">
        <f t="shared" si="25"/>
        <v>3.170762532207038</v>
      </c>
      <c r="M48" s="35"/>
      <c r="N48" s="41"/>
      <c r="O48" s="42">
        <f t="shared" si="19"/>
        <v>47337.2</v>
      </c>
      <c r="P48" s="36">
        <f t="shared" si="26"/>
        <v>3.417162352352295</v>
      </c>
      <c r="Q48" s="18"/>
    </row>
    <row r="49" spans="1:17" ht="15">
      <c r="A49" s="20"/>
      <c r="B49" s="28" t="s">
        <v>45</v>
      </c>
      <c r="C49" s="35">
        <f>1.25*2696.88</f>
        <v>3371.1000000000004</v>
      </c>
      <c r="D49" s="36">
        <f t="shared" si="21"/>
        <v>2.9291164633553604</v>
      </c>
      <c r="E49" s="35">
        <f>1.25*1507.6</f>
        <v>1884.5</v>
      </c>
      <c r="F49" s="36">
        <f t="shared" si="22"/>
        <v>2.0292220902548883</v>
      </c>
      <c r="G49" s="35">
        <f>1.25*1384</f>
        <v>1730</v>
      </c>
      <c r="H49" s="36">
        <f t="shared" si="23"/>
        <v>2.1780032997379473</v>
      </c>
      <c r="I49" s="35">
        <f>1.25*2456.48</f>
        <v>3070.6</v>
      </c>
      <c r="J49" s="36">
        <f t="shared" si="24"/>
        <v>2.604975591609461</v>
      </c>
      <c r="K49" s="35">
        <f>1.25*5123.28</f>
        <v>6404.099999999999</v>
      </c>
      <c r="L49" s="36">
        <f t="shared" si="25"/>
        <v>2.175707739473598</v>
      </c>
      <c r="M49" s="35"/>
      <c r="N49" s="41"/>
      <c r="O49" s="42">
        <f t="shared" si="19"/>
        <v>32761.699999999997</v>
      </c>
      <c r="P49" s="36">
        <f t="shared" si="26"/>
        <v>2.3649909128351525</v>
      </c>
      <c r="Q49" s="18"/>
    </row>
    <row r="50" spans="1:17" ht="15">
      <c r="A50" s="20"/>
      <c r="B50" s="28" t="s">
        <v>46</v>
      </c>
      <c r="C50" s="35">
        <f>1.25*3008.08</f>
        <v>3760.1</v>
      </c>
      <c r="D50" s="36">
        <f t="shared" si="21"/>
        <v>3.2671148330997273</v>
      </c>
      <c r="E50" s="35">
        <f>1.25*2408.8</f>
        <v>3011</v>
      </c>
      <c r="F50" s="36">
        <f t="shared" si="22"/>
        <v>3.2422328011448496</v>
      </c>
      <c r="G50" s="35">
        <f>1.25*1901.6</f>
        <v>2377</v>
      </c>
      <c r="H50" s="36">
        <f t="shared" si="23"/>
        <v>2.9925513546110407</v>
      </c>
      <c r="I50" s="35">
        <f>1.25*3437.28</f>
        <v>4296.6</v>
      </c>
      <c r="J50" s="36">
        <f t="shared" si="24"/>
        <v>3.6450655008497392</v>
      </c>
      <c r="K50" s="35">
        <f>1.25*8287.2</f>
        <v>10359</v>
      </c>
      <c r="L50" s="36">
        <f t="shared" si="25"/>
        <v>3.5193323766348126</v>
      </c>
      <c r="M50" s="35"/>
      <c r="N50" s="41"/>
      <c r="O50" s="42">
        <f t="shared" si="19"/>
        <v>44095.7</v>
      </c>
      <c r="P50" s="36">
        <f t="shared" si="26"/>
        <v>3.1831660077195334</v>
      </c>
      <c r="Q50" s="18"/>
    </row>
    <row r="51" spans="1:17" ht="15">
      <c r="A51" s="20"/>
      <c r="B51" s="28" t="s">
        <v>47</v>
      </c>
      <c r="C51" s="35">
        <v>0</v>
      </c>
      <c r="D51" s="36">
        <f t="shared" si="21"/>
        <v>0</v>
      </c>
      <c r="E51" s="35">
        <v>0</v>
      </c>
      <c r="F51" s="36">
        <f t="shared" si="22"/>
        <v>0</v>
      </c>
      <c r="G51" s="35">
        <f>1.25*288</f>
        <v>360</v>
      </c>
      <c r="H51" s="36">
        <f t="shared" si="23"/>
        <v>0.4532261201766826</v>
      </c>
      <c r="I51" s="35">
        <f>1.25*9976.48</f>
        <v>12470.599999999999</v>
      </c>
      <c r="J51" s="36">
        <f t="shared" si="24"/>
        <v>10.579563802750258</v>
      </c>
      <c r="K51" s="35">
        <f>1.25*17971.44</f>
        <v>22464.3</v>
      </c>
      <c r="L51" s="36">
        <f t="shared" si="25"/>
        <v>7.63194693584684</v>
      </c>
      <c r="M51" s="35"/>
      <c r="N51" s="41"/>
      <c r="O51" s="42">
        <f t="shared" si="19"/>
        <v>35783.899999999994</v>
      </c>
      <c r="P51" s="36">
        <f t="shared" si="26"/>
        <v>2.583156500602893</v>
      </c>
      <c r="Q51" s="18"/>
    </row>
    <row r="52" spans="1:17" ht="15">
      <c r="A52" s="20"/>
      <c r="B52" s="28" t="s">
        <v>48</v>
      </c>
      <c r="C52" s="35">
        <v>208</v>
      </c>
      <c r="D52" s="36">
        <f t="shared" si="21"/>
        <v>0.18072920541601106</v>
      </c>
      <c r="E52" s="35">
        <v>235</v>
      </c>
      <c r="F52" s="36">
        <f t="shared" si="22"/>
        <v>0.2530470635234273</v>
      </c>
      <c r="G52" s="35">
        <v>291</v>
      </c>
      <c r="H52" s="36">
        <f t="shared" si="23"/>
        <v>0.3663577804761518</v>
      </c>
      <c r="I52" s="35">
        <v>322</v>
      </c>
      <c r="J52" s="36">
        <f t="shared" si="24"/>
        <v>0.273172064253972</v>
      </c>
      <c r="K52" s="35">
        <v>818</v>
      </c>
      <c r="L52" s="36">
        <f t="shared" si="25"/>
        <v>0.27790461280888856</v>
      </c>
      <c r="M52" s="35"/>
      <c r="N52" s="41"/>
      <c r="O52" s="42">
        <f t="shared" si="19"/>
        <v>2991</v>
      </c>
      <c r="P52" s="36">
        <f t="shared" si="26"/>
        <v>0.21591333234508409</v>
      </c>
      <c r="Q52" s="18"/>
    </row>
    <row r="53" spans="1:17" ht="15">
      <c r="A53" s="20"/>
      <c r="B53" s="28" t="s">
        <v>60</v>
      </c>
      <c r="C53" s="35">
        <f>1.25*4477.28</f>
        <v>5596.599999999999</v>
      </c>
      <c r="D53" s="36">
        <f t="shared" si="21"/>
        <v>4.862832072265613</v>
      </c>
      <c r="E53" s="35">
        <f>1.25*3182.8</f>
        <v>3978.5</v>
      </c>
      <c r="F53" s="36">
        <f t="shared" si="22"/>
        <v>4.284032945650875</v>
      </c>
      <c r="G53" s="35">
        <f>1.25*2796.8</f>
        <v>3496</v>
      </c>
      <c r="H53" s="36">
        <f t="shared" si="23"/>
        <v>4.401329211493563</v>
      </c>
      <c r="I53" s="35">
        <f>1.25*5330.4</f>
        <v>6663</v>
      </c>
      <c r="J53" s="36">
        <f t="shared" si="24"/>
        <v>5.652625664982035</v>
      </c>
      <c r="K53" s="35">
        <f>1.25*10164.8</f>
        <v>12706</v>
      </c>
      <c r="L53" s="36">
        <f t="shared" si="25"/>
        <v>4.316694389180609</v>
      </c>
      <c r="M53" s="35"/>
      <c r="N53" s="41"/>
      <c r="O53" s="42">
        <f t="shared" si="19"/>
        <v>62580.5125</v>
      </c>
      <c r="P53" s="36">
        <f t="shared" si="26"/>
        <v>4.5175416227810725</v>
      </c>
      <c r="Q53" s="18"/>
    </row>
    <row r="54" spans="1:17" ht="15">
      <c r="A54" s="20"/>
      <c r="B54" s="28" t="s">
        <v>49</v>
      </c>
      <c r="C54" s="35">
        <f>1.25*3326.72</f>
        <v>4158.4</v>
      </c>
      <c r="D54" s="36">
        <f t="shared" si="21"/>
        <v>3.6131938836631754</v>
      </c>
      <c r="E54" s="35">
        <f>1.25*1407.44</f>
        <v>1759.3000000000002</v>
      </c>
      <c r="F54" s="36">
        <f t="shared" si="22"/>
        <v>1.8944072291777263</v>
      </c>
      <c r="G54" s="35">
        <f>1.25*1395.6</f>
        <v>1744.5</v>
      </c>
      <c r="H54" s="36">
        <f t="shared" si="23"/>
        <v>2.196258240689508</v>
      </c>
      <c r="I54" s="35">
        <f>1.25*926.4</f>
        <v>1158</v>
      </c>
      <c r="J54" s="36">
        <f t="shared" si="24"/>
        <v>0.9824013987767067</v>
      </c>
      <c r="K54" s="35">
        <f>1.25*4164</f>
        <v>5205</v>
      </c>
      <c r="L54" s="36">
        <f t="shared" si="25"/>
        <v>1.7683294739245292</v>
      </c>
      <c r="M54" s="35"/>
      <c r="N54" s="41"/>
      <c r="O54" s="42">
        <f t="shared" si="19"/>
        <v>33270.850000000006</v>
      </c>
      <c r="P54" s="36">
        <f t="shared" si="26"/>
        <v>2.4017452669520036</v>
      </c>
      <c r="Q54" s="18"/>
    </row>
    <row r="55" spans="1:17" ht="15.75" thickBot="1">
      <c r="A55" s="20"/>
      <c r="B55" s="28" t="s">
        <v>50</v>
      </c>
      <c r="C55" s="35">
        <f>1.25*133.6</f>
        <v>167</v>
      </c>
      <c r="D55" s="36">
        <f t="shared" si="21"/>
        <v>0.1451046985792012</v>
      </c>
      <c r="E55" s="35">
        <f>1.25*77.6</f>
        <v>97</v>
      </c>
      <c r="F55" s="36">
        <f t="shared" si="22"/>
        <v>0.10444921345435085</v>
      </c>
      <c r="G55" s="35">
        <f>1.25*76.4</f>
        <v>95.5</v>
      </c>
      <c r="H55" s="36">
        <f t="shared" si="23"/>
        <v>0.12023081799131442</v>
      </c>
      <c r="I55" s="35">
        <f>1.25*92</f>
        <v>115</v>
      </c>
      <c r="J55" s="36">
        <f t="shared" si="24"/>
        <v>0.09756145151927571</v>
      </c>
      <c r="K55" s="35">
        <f>1.25*298.4</f>
        <v>373</v>
      </c>
      <c r="L55" s="36">
        <f t="shared" si="25"/>
        <v>0.12672178554732938</v>
      </c>
      <c r="M55" s="35"/>
      <c r="N55" s="41"/>
      <c r="O55" s="42">
        <f t="shared" si="19"/>
        <v>1456.8</v>
      </c>
      <c r="P55" s="36">
        <f t="shared" si="26"/>
        <v>0.10516300319636192</v>
      </c>
      <c r="Q55" s="18"/>
    </row>
    <row r="56" spans="1:17" ht="16.5" thickBot="1" thickTop="1">
      <c r="A56" s="20"/>
      <c r="B56" s="27" t="s">
        <v>9</v>
      </c>
      <c r="C56" s="33">
        <f>SUM(C35:C55)</f>
        <v>115037.31250000003</v>
      </c>
      <c r="D56" s="34"/>
      <c r="E56" s="33">
        <f>SUM(E35:E55)</f>
        <v>92809.34999999999</v>
      </c>
      <c r="F56" s="34"/>
      <c r="G56" s="33">
        <f>SUM(G35:G55)</f>
        <v>79357.8</v>
      </c>
      <c r="H56" s="34"/>
      <c r="I56" s="33">
        <f>SUM(I35:I55)</f>
        <v>117793.92499999999</v>
      </c>
      <c r="J56" s="34"/>
      <c r="K56" s="33">
        <f>SUM(K35:K55)</f>
        <v>294141.10000000003</v>
      </c>
      <c r="L56" s="34"/>
      <c r="M56" s="33">
        <f>SUM(M35:M55)</f>
        <v>0</v>
      </c>
      <c r="N56" s="5"/>
      <c r="O56" s="38">
        <f>SUM(O35:O55)</f>
        <v>1384530.2999999998</v>
      </c>
      <c r="P56" s="34"/>
      <c r="Q56" s="18"/>
    </row>
    <row r="57" spans="1:17" ht="16.5" thickBot="1" thickTop="1">
      <c r="A57" s="20"/>
      <c r="B57" s="27" t="s">
        <v>10</v>
      </c>
      <c r="C57" s="33">
        <f>C56*0.8+C52*0.2</f>
        <v>92071.45000000004</v>
      </c>
      <c r="D57" s="34"/>
      <c r="E57" s="33">
        <f>E56*0.8+E52*0.2</f>
        <v>74294.48</v>
      </c>
      <c r="F57" s="34"/>
      <c r="G57" s="33">
        <f>G56*0.8+G52*0.2</f>
        <v>63544.44</v>
      </c>
      <c r="H57" s="34"/>
      <c r="I57" s="33">
        <f>I56*0.8+I52*0.2</f>
        <v>94299.54</v>
      </c>
      <c r="J57" s="34"/>
      <c r="K57" s="33">
        <f>K56*0.8+K52*0.2</f>
        <v>235476.48000000004</v>
      </c>
      <c r="L57" s="34"/>
      <c r="M57" s="33">
        <f>M56*0.8+M46*0.2</f>
        <v>0</v>
      </c>
      <c r="N57" s="5"/>
      <c r="O57" s="38">
        <f>O56*0.8+O52*0.2</f>
        <v>1108222.44</v>
      </c>
      <c r="P57" s="34"/>
      <c r="Q57" s="18"/>
    </row>
    <row r="58" spans="1:17" ht="16.5" thickBot="1" thickTop="1">
      <c r="A58" s="20"/>
      <c r="B58" s="29"/>
      <c r="C58" s="37"/>
      <c r="D58" s="5"/>
      <c r="E58" s="37"/>
      <c r="F58" s="5"/>
      <c r="G58" s="37"/>
      <c r="H58" s="5"/>
      <c r="I58" s="37"/>
      <c r="J58" s="5"/>
      <c r="K58" s="37"/>
      <c r="L58" s="5"/>
      <c r="M58" s="37"/>
      <c r="N58" s="5"/>
      <c r="O58" s="37"/>
      <c r="P58" s="5"/>
      <c r="Q58" s="20"/>
    </row>
    <row r="59" spans="1:17" ht="16.5" thickBot="1" thickTop="1">
      <c r="A59" s="20"/>
      <c r="B59" s="27" t="s">
        <v>11</v>
      </c>
      <c r="C59" s="38"/>
      <c r="D59" s="5">
        <v>27</v>
      </c>
      <c r="E59" s="38"/>
      <c r="F59" s="5">
        <v>26</v>
      </c>
      <c r="G59" s="38"/>
      <c r="H59" s="5">
        <v>26</v>
      </c>
      <c r="I59" s="38"/>
      <c r="J59" s="5">
        <v>26</v>
      </c>
      <c r="K59" s="38"/>
      <c r="L59" s="5">
        <v>24</v>
      </c>
      <c r="M59" s="38"/>
      <c r="N59" s="5"/>
      <c r="O59" s="38"/>
      <c r="P59" s="5">
        <f>SUM(A28:P28)+SUM(A59:N59)</f>
        <v>304</v>
      </c>
      <c r="Q59" s="18"/>
    </row>
    <row r="60" spans="1:17" ht="16.5" thickBot="1" thickTop="1">
      <c r="A60" s="20"/>
      <c r="B60" s="27" t="s">
        <v>12</v>
      </c>
      <c r="C60" s="38">
        <f>C56/D59</f>
        <v>4260.641203703704</v>
      </c>
      <c r="D60" s="37"/>
      <c r="E60" s="38">
        <f>E56/F59</f>
        <v>3569.590384615384</v>
      </c>
      <c r="F60" s="37"/>
      <c r="G60" s="38">
        <f>G56/H59</f>
        <v>3052.223076923077</v>
      </c>
      <c r="H60" s="37"/>
      <c r="I60" s="38">
        <f>I56/J59</f>
        <v>4530.535576923076</v>
      </c>
      <c r="J60" s="37"/>
      <c r="K60" s="38">
        <f>K56/L59</f>
        <v>12255.879166666668</v>
      </c>
      <c r="L60" s="37"/>
      <c r="M60" s="38"/>
      <c r="N60" s="37"/>
      <c r="O60" s="38">
        <f>O56/P59</f>
        <v>4554.375986842105</v>
      </c>
      <c r="P60" s="37"/>
      <c r="Q60" s="19"/>
    </row>
    <row r="61" spans="1:17" ht="16.5" thickBot="1" thickTop="1">
      <c r="A61" s="20"/>
      <c r="B61" s="2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"/>
      <c r="Q61" s="20"/>
    </row>
    <row r="62" spans="1:17" ht="16.5" thickBot="1" thickTop="1">
      <c r="A62" s="32"/>
      <c r="B62" s="27" t="s">
        <v>64</v>
      </c>
      <c r="C62" s="38">
        <v>3668</v>
      </c>
      <c r="D62" s="37"/>
      <c r="E62" s="38">
        <v>3320</v>
      </c>
      <c r="F62" s="37"/>
      <c r="G62" s="38">
        <v>3388</v>
      </c>
      <c r="H62" s="37"/>
      <c r="I62" s="38">
        <v>4171</v>
      </c>
      <c r="J62" s="37"/>
      <c r="K62" s="38">
        <v>12440</v>
      </c>
      <c r="L62" s="37"/>
      <c r="M62" s="38"/>
      <c r="N62" s="37"/>
      <c r="O62" s="38">
        <v>4255</v>
      </c>
      <c r="P62" s="37"/>
      <c r="Q62" s="56"/>
    </row>
    <row r="63" spans="1:17" ht="16.5" thickBot="1" thickTop="1">
      <c r="A63" s="32"/>
      <c r="B63" s="27" t="s">
        <v>62</v>
      </c>
      <c r="C63" s="38">
        <v>3593</v>
      </c>
      <c r="D63" s="37"/>
      <c r="E63" s="38">
        <v>2646</v>
      </c>
      <c r="F63" s="37"/>
      <c r="G63" s="38">
        <v>3141</v>
      </c>
      <c r="H63" s="37"/>
      <c r="I63" s="38">
        <v>4752</v>
      </c>
      <c r="J63" s="37"/>
      <c r="K63" s="38">
        <v>11815</v>
      </c>
      <c r="L63" s="37"/>
      <c r="M63" s="38"/>
      <c r="N63" s="37"/>
      <c r="O63" s="38">
        <v>4001</v>
      </c>
      <c r="P63" s="37"/>
      <c r="Q63" s="56"/>
    </row>
    <row r="64" spans="1:17" ht="15.75" thickTop="1">
      <c r="A64" s="32"/>
      <c r="B64" s="29"/>
      <c r="C64" s="37"/>
      <c r="D64" s="5"/>
      <c r="E64" s="37"/>
      <c r="F64" s="5"/>
      <c r="G64" s="37"/>
      <c r="H64" s="5"/>
      <c r="I64" s="37"/>
      <c r="J64" s="5"/>
      <c r="K64" s="37"/>
      <c r="L64" s="5"/>
      <c r="M64" s="37"/>
      <c r="N64" s="5"/>
      <c r="O64" s="37"/>
      <c r="P64" s="5"/>
      <c r="Q64" s="32"/>
    </row>
    <row r="65" spans="1:17" ht="15">
      <c r="A65" s="32"/>
      <c r="B65" s="26"/>
      <c r="C65" s="39"/>
      <c r="D65" s="32"/>
      <c r="E65" s="39"/>
      <c r="F65" s="32"/>
      <c r="G65" s="39"/>
      <c r="H65" s="32"/>
      <c r="I65" s="39"/>
      <c r="J65" s="39" t="s">
        <v>20</v>
      </c>
      <c r="K65" s="39"/>
      <c r="L65" s="32" t="s">
        <v>65</v>
      </c>
      <c r="M65" s="39" t="s">
        <v>21</v>
      </c>
      <c r="N65" s="32"/>
      <c r="O65" s="39">
        <v>1293490</v>
      </c>
      <c r="P65" s="32"/>
      <c r="Q65" s="32"/>
    </row>
    <row r="66" spans="1:17" ht="15">
      <c r="A66" s="32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61</v>
      </c>
      <c r="M66" s="39" t="s">
        <v>21</v>
      </c>
      <c r="N66" s="32"/>
      <c r="O66" s="39">
        <v>1216422</v>
      </c>
      <c r="P66" s="32"/>
      <c r="Q66" s="32"/>
    </row>
    <row r="67" spans="1:17" ht="15">
      <c r="A67" s="32"/>
      <c r="B67" s="26"/>
      <c r="C67" s="39"/>
      <c r="D67" s="32"/>
      <c r="E67" s="39"/>
      <c r="F67" s="32"/>
      <c r="G67" s="39"/>
      <c r="H67" s="32"/>
      <c r="I67" s="39"/>
      <c r="J67" s="32"/>
      <c r="K67" s="39"/>
      <c r="L67" s="32"/>
      <c r="M67" s="39"/>
      <c r="N67" s="32"/>
      <c r="O67" s="39"/>
      <c r="P67" s="32"/>
      <c r="Q67" s="32"/>
    </row>
    <row r="68" spans="1:17" ht="15">
      <c r="A68" s="20"/>
      <c r="B68" s="26"/>
      <c r="C68" s="39"/>
      <c r="D68" s="39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5">
      <c r="A69" s="20"/>
      <c r="B69" s="26"/>
      <c r="C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5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3:15" ht="15">
      <c r="C76" s="44"/>
      <c r="E76" s="44"/>
      <c r="G76" s="44"/>
      <c r="I76" s="44"/>
      <c r="K76" s="44"/>
      <c r="M76" s="44"/>
      <c r="O76" s="44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3" ht="15">
      <c r="C93" s="44"/>
      <c r="E93" s="45"/>
      <c r="G93" s="44"/>
      <c r="I93" s="44"/>
      <c r="K93" s="44"/>
      <c r="M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5"/>
      <c r="E104" s="45"/>
      <c r="G104" s="44"/>
      <c r="I104" s="44"/>
      <c r="K104" s="44"/>
      <c r="M104" s="44"/>
    </row>
    <row r="105" spans="3:13" ht="15">
      <c r="C105" s="44"/>
      <c r="E105" s="44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5" ht="15">
      <c r="C192" s="45"/>
      <c r="E192" s="45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21484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5">
      <c r="A1" s="20"/>
      <c r="B1" s="26"/>
      <c r="C1" s="31"/>
      <c r="D1" s="32"/>
      <c r="E1" s="31"/>
      <c r="F1" s="51" t="s">
        <v>66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5.75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6.5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7" ht="15.75" thickTop="1">
      <c r="A4" s="20"/>
      <c r="B4" s="27" t="s">
        <v>31</v>
      </c>
      <c r="C4" s="33">
        <f>3190.55*1.25</f>
        <v>3988.1875</v>
      </c>
      <c r="D4" s="34">
        <f aca="true" t="shared" si="0" ref="D4:D14">80*C4/C$26</f>
        <v>6.874497833398224</v>
      </c>
      <c r="E4" s="33">
        <f>2366.4*1.25</f>
        <v>2958</v>
      </c>
      <c r="F4" s="34">
        <f aca="true" t="shared" si="1" ref="F4:F14">80*E4/E$26</f>
        <v>4.224540466970249</v>
      </c>
      <c r="G4" s="33">
        <f>3122.88*1.25</f>
        <v>3903.6000000000004</v>
      </c>
      <c r="H4" s="34">
        <f aca="true" t="shared" si="2" ref="H4:H14">80*G4/G$26</f>
        <v>4.899400753435359</v>
      </c>
      <c r="I4" s="33">
        <f>3692.08*1.25</f>
        <v>4615.1</v>
      </c>
      <c r="J4" s="34">
        <f aca="true" t="shared" si="3" ref="J4:J14">80*I4/I$26</f>
        <v>5.352736534505843</v>
      </c>
      <c r="K4" s="33">
        <f>3646.32*1.25</f>
        <v>4557.900000000001</v>
      </c>
      <c r="L4" s="34">
        <f aca="true" t="shared" si="4" ref="L4:L14">80*K4/K$26</f>
        <v>4.909382317649821</v>
      </c>
      <c r="M4" s="33">
        <f>4659.76*1.25</f>
        <v>5824.700000000001</v>
      </c>
      <c r="N4" s="34">
        <f aca="true" t="shared" si="5" ref="N4:N14">80*M4/M$26</f>
        <v>4.778051168385966</v>
      </c>
      <c r="O4" s="33">
        <f>1.25*4184.4</f>
        <v>5230.5</v>
      </c>
      <c r="P4" s="34">
        <f aca="true" t="shared" si="6" ref="P4:P14">80*O4/O$26</f>
        <v>4.998124687945685</v>
      </c>
      <c r="Q4" s="18"/>
    </row>
    <row r="5" spans="1:17" ht="15">
      <c r="A5" s="20"/>
      <c r="B5" s="28" t="s">
        <v>32</v>
      </c>
      <c r="C5" s="35">
        <f>2352*1.25</f>
        <v>2940</v>
      </c>
      <c r="D5" s="36">
        <f t="shared" si="0"/>
        <v>5.067721522669328</v>
      </c>
      <c r="E5" s="35">
        <f>3760*1.25</f>
        <v>4700</v>
      </c>
      <c r="F5" s="36">
        <f t="shared" si="1"/>
        <v>6.712420620270511</v>
      </c>
      <c r="G5" s="35">
        <f>5377.6*1.25</f>
        <v>6722</v>
      </c>
      <c r="H5" s="36">
        <f t="shared" si="2"/>
        <v>8.43676910149413</v>
      </c>
      <c r="I5" s="35">
        <f>4404*1.25</f>
        <v>5505</v>
      </c>
      <c r="J5" s="36">
        <f t="shared" si="3"/>
        <v>6.384870235196348</v>
      </c>
      <c r="K5" s="35">
        <f>3247.6*1.25</f>
        <v>4059.5</v>
      </c>
      <c r="L5" s="36">
        <f t="shared" si="4"/>
        <v>4.372548217051591</v>
      </c>
      <c r="M5" s="35">
        <f>5465.6*1.25</f>
        <v>6832</v>
      </c>
      <c r="N5" s="36">
        <f t="shared" si="5"/>
        <v>5.604347963399474</v>
      </c>
      <c r="O5" s="35">
        <f>1.25*6245.6</f>
        <v>7807</v>
      </c>
      <c r="P5" s="36">
        <f t="shared" si="6"/>
        <v>7.460158577342885</v>
      </c>
      <c r="Q5" s="18"/>
    </row>
    <row r="6" spans="1:17" ht="15">
      <c r="A6" s="20"/>
      <c r="B6" s="28" t="s">
        <v>33</v>
      </c>
      <c r="C6" s="35">
        <f>2922.4*1.25</f>
        <v>3653</v>
      </c>
      <c r="D6" s="36">
        <f t="shared" si="0"/>
        <v>6.296730177656821</v>
      </c>
      <c r="E6" s="35">
        <f>3208.8*1.25</f>
        <v>4011</v>
      </c>
      <c r="F6" s="36">
        <f t="shared" si="1"/>
        <v>5.728408320830855</v>
      </c>
      <c r="G6" s="35">
        <f>3474.8*1.25</f>
        <v>4343.5</v>
      </c>
      <c r="H6" s="36">
        <f t="shared" si="2"/>
        <v>5.451518386245128</v>
      </c>
      <c r="I6" s="35">
        <f>4360*1.25</f>
        <v>5450</v>
      </c>
      <c r="J6" s="36">
        <f t="shared" si="3"/>
        <v>6.3210795243996545</v>
      </c>
      <c r="K6" s="35">
        <f>2189.44*1.25</f>
        <v>2736.8</v>
      </c>
      <c r="L6" s="36">
        <f t="shared" si="4"/>
        <v>2.9478482474262333</v>
      </c>
      <c r="M6" s="35">
        <f>3860.64*1.25</f>
        <v>4825.8</v>
      </c>
      <c r="N6" s="36">
        <f t="shared" si="5"/>
        <v>3.9586449651307345</v>
      </c>
      <c r="O6" s="35">
        <f>1.25*3820.8</f>
        <v>4776</v>
      </c>
      <c r="P6" s="36">
        <f t="shared" si="6"/>
        <v>4.5638167497617035</v>
      </c>
      <c r="Q6" s="18"/>
    </row>
    <row r="7" spans="1:17" ht="15">
      <c r="A7" s="20"/>
      <c r="B7" s="28" t="s">
        <v>34</v>
      </c>
      <c r="C7" s="35">
        <f>5678.48*1.25</f>
        <v>7098.099999999999</v>
      </c>
      <c r="D7" s="36">
        <f t="shared" si="0"/>
        <v>12.235100047639168</v>
      </c>
      <c r="E7" s="35">
        <f>5513.6*1.25</f>
        <v>6892</v>
      </c>
      <c r="F7" s="36">
        <f t="shared" si="1"/>
        <v>9.842979343596673</v>
      </c>
      <c r="G7" s="35">
        <f>4068.08*1.25</f>
        <v>5085.1</v>
      </c>
      <c r="H7" s="36">
        <f t="shared" si="2"/>
        <v>6.3822991011615295</v>
      </c>
      <c r="I7" s="35">
        <f>2812.8*1.25</f>
        <v>3516</v>
      </c>
      <c r="J7" s="36">
        <f t="shared" si="3"/>
        <v>4.0779661665668225</v>
      </c>
      <c r="K7" s="35">
        <f>2472.8*1.25</f>
        <v>3091</v>
      </c>
      <c r="L7" s="36">
        <f t="shared" si="4"/>
        <v>3.329362369480593</v>
      </c>
      <c r="M7" s="35">
        <f>2446.8*1.25</f>
        <v>3058.5</v>
      </c>
      <c r="N7" s="36">
        <f t="shared" si="5"/>
        <v>2.508913677701594</v>
      </c>
      <c r="O7" s="35">
        <f>1.25*2594.4</f>
        <v>3243</v>
      </c>
      <c r="P7" s="36">
        <f t="shared" si="6"/>
        <v>3.098923308098242</v>
      </c>
      <c r="Q7" s="18"/>
    </row>
    <row r="8" spans="1:17" ht="15">
      <c r="A8" s="20"/>
      <c r="B8" s="28" t="s">
        <v>35</v>
      </c>
      <c r="C8" s="35">
        <f>3155.2*1.25</f>
        <v>3944</v>
      </c>
      <c r="D8" s="36">
        <f t="shared" si="0"/>
        <v>6.7983311855128665</v>
      </c>
      <c r="E8" s="35">
        <f>3408.8*1.25</f>
        <v>4261</v>
      </c>
      <c r="F8" s="36">
        <f t="shared" si="1"/>
        <v>6.085451970845244</v>
      </c>
      <c r="G8" s="35">
        <f>5128*1.25</f>
        <v>6410</v>
      </c>
      <c r="H8" s="36">
        <f t="shared" si="2"/>
        <v>8.045178509458104</v>
      </c>
      <c r="I8" s="35">
        <f>5086.56*1.25</f>
        <v>6358.200000000001</v>
      </c>
      <c r="J8" s="36">
        <f t="shared" si="3"/>
        <v>7.374438134318878</v>
      </c>
      <c r="K8" s="35">
        <f>3776.8*1.25</f>
        <v>4721</v>
      </c>
      <c r="L8" s="36">
        <f t="shared" si="4"/>
        <v>5.085059769109635</v>
      </c>
      <c r="M8" s="35">
        <f>3556.8*1.25</f>
        <v>4446</v>
      </c>
      <c r="N8" s="36">
        <f t="shared" si="5"/>
        <v>3.647091780631449</v>
      </c>
      <c r="O8" s="35">
        <f>1.25*3541.6</f>
        <v>4427</v>
      </c>
      <c r="P8" s="36">
        <f t="shared" si="6"/>
        <v>4.230321765325599</v>
      </c>
      <c r="Q8" s="18"/>
    </row>
    <row r="9" spans="1:17" ht="15">
      <c r="A9" s="20"/>
      <c r="B9" s="28" t="s">
        <v>51</v>
      </c>
      <c r="C9" s="35">
        <f>2464.8*1.25</f>
        <v>3081</v>
      </c>
      <c r="D9" s="36">
        <f t="shared" si="0"/>
        <v>5.3107653099810195</v>
      </c>
      <c r="E9" s="35">
        <f>1646.4*1.25</f>
        <v>2058</v>
      </c>
      <c r="F9" s="36">
        <f t="shared" si="1"/>
        <v>2.939183326918449</v>
      </c>
      <c r="G9" s="35">
        <f>1521.6*1.25</f>
        <v>1902</v>
      </c>
      <c r="H9" s="36">
        <f t="shared" si="2"/>
        <v>2.387196493758083</v>
      </c>
      <c r="I9" s="35">
        <f>1984*1.25</f>
        <v>2480</v>
      </c>
      <c r="J9" s="36">
        <f t="shared" si="3"/>
        <v>2.8763811413781912</v>
      </c>
      <c r="K9" s="35">
        <f>842.4*1.25</f>
        <v>1053</v>
      </c>
      <c r="L9" s="36">
        <f t="shared" si="4"/>
        <v>1.1342020624597426</v>
      </c>
      <c r="M9" s="35">
        <f>2318.4*1.25</f>
        <v>2898</v>
      </c>
      <c r="N9" s="36">
        <f t="shared" si="5"/>
        <v>2.3772541566059244</v>
      </c>
      <c r="O9" s="35">
        <f>1.25*1323.2</f>
        <v>1654</v>
      </c>
      <c r="P9" s="36">
        <f t="shared" si="6"/>
        <v>1.580517777241595</v>
      </c>
      <c r="Q9" s="18"/>
    </row>
    <row r="10" spans="1:17" ht="15">
      <c r="A10" s="20"/>
      <c r="B10" s="28" t="s">
        <v>37</v>
      </c>
      <c r="C10" s="35">
        <v>0</v>
      </c>
      <c r="D10" s="36">
        <f t="shared" si="0"/>
        <v>0</v>
      </c>
      <c r="E10" s="35">
        <f>1336*1.25</f>
        <v>1670</v>
      </c>
      <c r="F10" s="36">
        <f t="shared" si="1"/>
        <v>2.385051582096118</v>
      </c>
      <c r="G10" s="35">
        <f>4420*1.25</f>
        <v>5525</v>
      </c>
      <c r="H10" s="36">
        <f t="shared" si="2"/>
        <v>6.9344167339712985</v>
      </c>
      <c r="I10" s="35">
        <f>7256*1.25</f>
        <v>9070</v>
      </c>
      <c r="J10" s="36">
        <f t="shared" si="3"/>
        <v>10.519668125927499</v>
      </c>
      <c r="K10" s="35">
        <f>23924*1.25</f>
        <v>29905</v>
      </c>
      <c r="L10" s="36">
        <f t="shared" si="4"/>
        <v>32.211123150862875</v>
      </c>
      <c r="M10" s="35">
        <f>34532*1.25</f>
        <v>43165</v>
      </c>
      <c r="N10" s="36">
        <f t="shared" si="5"/>
        <v>35.40861824357996</v>
      </c>
      <c r="O10" s="35">
        <f>1.25*15433.6</f>
        <v>19292</v>
      </c>
      <c r="P10" s="36">
        <f t="shared" si="6"/>
        <v>18.434914727052508</v>
      </c>
      <c r="Q10" s="18"/>
    </row>
    <row r="11" spans="1:17" ht="15">
      <c r="A11" s="20"/>
      <c r="B11" s="28" t="s">
        <v>38</v>
      </c>
      <c r="C11" s="35">
        <f>6200.56*1.25</f>
        <v>7750.700000000001</v>
      </c>
      <c r="D11" s="36">
        <f t="shared" si="0"/>
        <v>13.359996328487469</v>
      </c>
      <c r="E11" s="35">
        <f>7802.8*1.25</f>
        <v>9753.5</v>
      </c>
      <c r="F11" s="36">
        <f t="shared" si="1"/>
        <v>13.929700961661368</v>
      </c>
      <c r="G11" s="35">
        <f>9229.52*1.25</f>
        <v>11536.900000000001</v>
      </c>
      <c r="H11" s="36">
        <f t="shared" si="2"/>
        <v>14.479940709168051</v>
      </c>
      <c r="I11" s="35">
        <f>8542.24*1.25</f>
        <v>10677.8</v>
      </c>
      <c r="J11" s="36">
        <f t="shared" si="3"/>
        <v>12.384444577180666</v>
      </c>
      <c r="K11" s="35">
        <f>6392*1.25</f>
        <v>7990</v>
      </c>
      <c r="L11" s="36">
        <f t="shared" si="4"/>
        <v>8.606148603089595</v>
      </c>
      <c r="M11" s="35">
        <f>7203.6*1.25</f>
        <v>9004.5</v>
      </c>
      <c r="N11" s="36">
        <f t="shared" si="5"/>
        <v>7.386468272311265</v>
      </c>
      <c r="O11" s="35">
        <f>1.25*9840</f>
        <v>12300</v>
      </c>
      <c r="P11" s="36">
        <f t="shared" si="6"/>
        <v>11.75354816207474</v>
      </c>
      <c r="Q11" s="18"/>
    </row>
    <row r="12" spans="1:17" ht="15">
      <c r="A12" s="20"/>
      <c r="B12" s="28" t="s">
        <v>39</v>
      </c>
      <c r="C12" s="35">
        <f>5604*1.25-C13</f>
        <v>5276</v>
      </c>
      <c r="D12" s="36">
        <f t="shared" si="0"/>
        <v>9.094319303946726</v>
      </c>
      <c r="E12" s="35">
        <f>5442.8*1.25-E13</f>
        <v>5552.5</v>
      </c>
      <c r="F12" s="36">
        <f t="shared" si="1"/>
        <v>7.929939466819577</v>
      </c>
      <c r="G12" s="35">
        <f>5590.4*1.25-G13</f>
        <v>5965</v>
      </c>
      <c r="H12" s="36">
        <f t="shared" si="2"/>
        <v>7.486659876586208</v>
      </c>
      <c r="I12" s="35">
        <f>7108.64*1.25-I13</f>
        <v>7334.800000000001</v>
      </c>
      <c r="J12" s="36">
        <f t="shared" si="3"/>
        <v>8.507129191847081</v>
      </c>
      <c r="K12" s="35">
        <f>5860*1.25-K13</f>
        <v>5090</v>
      </c>
      <c r="L12" s="36">
        <f t="shared" si="4"/>
        <v>5.4825151927066385</v>
      </c>
      <c r="M12" s="35">
        <f>5939.2*1.25-M13</f>
        <v>6729</v>
      </c>
      <c r="N12" s="36">
        <f t="shared" si="5"/>
        <v>5.5198561835063025</v>
      </c>
      <c r="O12" s="35">
        <f>1.25*6992-O13</f>
        <v>7667</v>
      </c>
      <c r="P12" s="36">
        <f t="shared" si="6"/>
        <v>7.326378354359921</v>
      </c>
      <c r="Q12" s="18"/>
    </row>
    <row r="13" spans="1:17" ht="15">
      <c r="A13" s="20"/>
      <c r="B13" s="28" t="s">
        <v>40</v>
      </c>
      <c r="C13" s="35">
        <f>1383.2*1.25</f>
        <v>1729</v>
      </c>
      <c r="D13" s="36">
        <f t="shared" si="0"/>
        <v>2.9803028954745807</v>
      </c>
      <c r="E13" s="35">
        <f>1000.8*1.25</f>
        <v>1251</v>
      </c>
      <c r="F13" s="36">
        <f t="shared" si="1"/>
        <v>1.786646424672002</v>
      </c>
      <c r="G13" s="35">
        <f>818.4*1.25</f>
        <v>1023</v>
      </c>
      <c r="H13" s="36">
        <f t="shared" si="2"/>
        <v>1.283965306579663</v>
      </c>
      <c r="I13" s="35">
        <f>1.25*1240.8</f>
        <v>1551</v>
      </c>
      <c r="J13" s="36">
        <f t="shared" si="3"/>
        <v>1.7988980444667642</v>
      </c>
      <c r="K13" s="35">
        <f>1.25*1788</f>
        <v>2235</v>
      </c>
      <c r="L13" s="36">
        <f t="shared" si="4"/>
        <v>2.407351955933072</v>
      </c>
      <c r="M13" s="35">
        <f>1.25*556</f>
        <v>695</v>
      </c>
      <c r="N13" s="36">
        <f t="shared" si="5"/>
        <v>0.5701144371432427</v>
      </c>
      <c r="O13" s="35">
        <f>1.25*858.4</f>
        <v>1073</v>
      </c>
      <c r="P13" s="36">
        <f t="shared" si="6"/>
        <v>1.0253298518622922</v>
      </c>
      <c r="Q13" s="18"/>
    </row>
    <row r="14" spans="1:17" ht="15">
      <c r="A14" s="20"/>
      <c r="B14" s="28" t="s">
        <v>41</v>
      </c>
      <c r="C14" s="35">
        <f>1.25*1960.4</f>
        <v>2450.5</v>
      </c>
      <c r="D14" s="36">
        <f t="shared" si="0"/>
        <v>4.2239631262929205</v>
      </c>
      <c r="E14" s="35">
        <f>3124*1.25</f>
        <v>3905</v>
      </c>
      <c r="F14" s="36">
        <f t="shared" si="1"/>
        <v>5.577021813224754</v>
      </c>
      <c r="G14" s="35">
        <f>1.25*3867.28</f>
        <v>4834.1</v>
      </c>
      <c r="H14" s="36">
        <f t="shared" si="2"/>
        <v>6.0672694902607525</v>
      </c>
      <c r="I14" s="35">
        <f>4132.16*1.25</f>
        <v>5165.2</v>
      </c>
      <c r="J14" s="36">
        <f t="shared" si="3"/>
        <v>5.99075962558332</v>
      </c>
      <c r="K14" s="35">
        <f>3969.6*1.25</f>
        <v>4962</v>
      </c>
      <c r="L14" s="36">
        <f t="shared" si="4"/>
        <v>5.3446444766621495</v>
      </c>
      <c r="M14" s="35">
        <f>8366.8*1.25</f>
        <v>10458.5</v>
      </c>
      <c r="N14" s="36">
        <f t="shared" si="5"/>
        <v>8.579196893327488</v>
      </c>
      <c r="O14" s="35">
        <f>1.25*8536.16</f>
        <v>10670.2</v>
      </c>
      <c r="P14" s="36">
        <f t="shared" si="6"/>
        <v>10.19615525194877</v>
      </c>
      <c r="Q14" s="18"/>
    </row>
    <row r="15" spans="1:17" ht="15">
      <c r="A15" s="20"/>
      <c r="B15" s="28" t="s">
        <v>42</v>
      </c>
      <c r="C15" s="35">
        <f>1.25*1805.6</f>
        <v>2257</v>
      </c>
      <c r="D15" s="36">
        <f>100*C15/C$26</f>
        <v>4.863030389738381</v>
      </c>
      <c r="E15" s="35">
        <f>1.25*3655.12</f>
        <v>4568.9</v>
      </c>
      <c r="F15" s="36">
        <f>100*E15/E$26</f>
        <v>8.156483662753706</v>
      </c>
      <c r="G15" s="35">
        <f>1.25*2493.6</f>
        <v>3117</v>
      </c>
      <c r="H15" s="36">
        <f>100*G15/G$26</f>
        <v>4.890175782757588</v>
      </c>
      <c r="I15" s="35">
        <f>2893.28*1.25</f>
        <v>3616.6000000000004</v>
      </c>
      <c r="J15" s="36">
        <f>100*I15/I$26</f>
        <v>5.24330646971188</v>
      </c>
      <c r="K15" s="35">
        <f>3082.56*1.25</f>
        <v>3853.2</v>
      </c>
      <c r="L15" s="36">
        <f>100*K15/K$26</f>
        <v>5.187924248658453</v>
      </c>
      <c r="M15" s="35">
        <f>2013.68*1.25</f>
        <v>2517.1</v>
      </c>
      <c r="N15" s="36">
        <f>100*M15/M$26</f>
        <v>2.5809982908871514</v>
      </c>
      <c r="O15" s="35">
        <f>1.25*2824.88</f>
        <v>3531.1000000000004</v>
      </c>
      <c r="P15" s="36">
        <f>100*O15/O$26</f>
        <v>4.217779869420947</v>
      </c>
      <c r="Q15" s="18"/>
    </row>
    <row r="16" spans="1:17" ht="15">
      <c r="A16" s="20"/>
      <c r="B16" s="28" t="s">
        <v>43</v>
      </c>
      <c r="C16" s="35">
        <f>1.25*1886.4</f>
        <v>2358</v>
      </c>
      <c r="D16" s="36">
        <f aca="true" t="shared" si="7" ref="D16:D24">80*C16/C$26</f>
        <v>4.064519506957236</v>
      </c>
      <c r="E16" s="35">
        <f>1.25*2686.4</f>
        <v>3358</v>
      </c>
      <c r="F16" s="36">
        <f aca="true" t="shared" si="8" ref="F16:F24">80*E16/E$26</f>
        <v>4.795810306993271</v>
      </c>
      <c r="G16" s="35">
        <f>1.25*3410</f>
        <v>4262.5</v>
      </c>
      <c r="H16" s="36">
        <f aca="true" t="shared" si="9" ref="H16:H24">80*G16/G$26</f>
        <v>5.349855444081929</v>
      </c>
      <c r="I16" s="35">
        <f>3049.6*1.25</f>
        <v>3812</v>
      </c>
      <c r="J16" s="36">
        <f aca="true" t="shared" si="10" ref="J16:J24">80*I16/I$26</f>
        <v>4.421276173763575</v>
      </c>
      <c r="K16" s="35">
        <f>1.25*3568.8</f>
        <v>4461</v>
      </c>
      <c r="L16" s="36">
        <f aca="true" t="shared" si="11" ref="L16:L24">80*K16/K$26</f>
        <v>4.805009877144266</v>
      </c>
      <c r="M16" s="35">
        <f>1.25*2600.6</f>
        <v>3250.75</v>
      </c>
      <c r="N16" s="36">
        <f aca="true" t="shared" si="12" ref="N16:N24">80*M16/M$26</f>
        <v>2.6666179950264692</v>
      </c>
      <c r="O16" s="35">
        <f>1.25*2772.8</f>
        <v>3466</v>
      </c>
      <c r="P16" s="36">
        <f aca="true" t="shared" si="13" ref="P16:P24">80*O16/O$26</f>
        <v>3.3120160918496784</v>
      </c>
      <c r="Q16" s="18"/>
    </row>
    <row r="17" spans="1:17" ht="15">
      <c r="A17" s="20"/>
      <c r="B17" s="28" t="s">
        <v>44</v>
      </c>
      <c r="C17" s="35">
        <f>1.25*2641.6</f>
        <v>3302</v>
      </c>
      <c r="D17" s="36">
        <f t="shared" si="7"/>
        <v>5.691706281583034</v>
      </c>
      <c r="E17" s="35">
        <f>1.25*3204</f>
        <v>4005</v>
      </c>
      <c r="F17" s="36">
        <f t="shared" si="8"/>
        <v>5.71983927323051</v>
      </c>
      <c r="G17" s="35">
        <f>1.25*3541.2</f>
        <v>4426.5</v>
      </c>
      <c r="H17" s="36">
        <f t="shared" si="9"/>
        <v>5.555691524511123</v>
      </c>
      <c r="I17" s="35">
        <f>3110.08*1.25</f>
        <v>3887.6</v>
      </c>
      <c r="J17" s="36">
        <f t="shared" si="10"/>
        <v>4.508959405331394</v>
      </c>
      <c r="K17" s="35">
        <f>2300*1.25</f>
        <v>2875</v>
      </c>
      <c r="L17" s="36">
        <f t="shared" si="11"/>
        <v>3.096705536155518</v>
      </c>
      <c r="M17" s="35">
        <f>1.25*3236</f>
        <v>4045</v>
      </c>
      <c r="N17" s="36">
        <f t="shared" si="12"/>
        <v>3.3181480550279376</v>
      </c>
      <c r="O17" s="35">
        <f>1.25*2776.8</f>
        <v>3471</v>
      </c>
      <c r="P17" s="36">
        <f t="shared" si="13"/>
        <v>3.316793956956213</v>
      </c>
      <c r="Q17" s="18"/>
    </row>
    <row r="18" spans="1:17" ht="15">
      <c r="A18" s="20"/>
      <c r="B18" s="28" t="s">
        <v>45</v>
      </c>
      <c r="C18" s="35">
        <f>1.25*732.8</f>
        <v>916</v>
      </c>
      <c r="D18" s="36">
        <f t="shared" si="7"/>
        <v>1.578922760124185</v>
      </c>
      <c r="E18" s="35">
        <f>1.25*1009.76</f>
        <v>1262.2</v>
      </c>
      <c r="F18" s="36">
        <f t="shared" si="8"/>
        <v>1.8026419801926465</v>
      </c>
      <c r="G18" s="35">
        <f>1.25*1136.64</f>
        <v>1420.8000000000002</v>
      </c>
      <c r="H18" s="36">
        <f t="shared" si="9"/>
        <v>1.7832433114255968</v>
      </c>
      <c r="I18" s="35">
        <f>978.24*1.25</f>
        <v>1222.8</v>
      </c>
      <c r="J18" s="36">
        <f t="shared" si="10"/>
        <v>1.4182414756763115</v>
      </c>
      <c r="K18" s="35">
        <f>822.4*1.25</f>
        <v>1028</v>
      </c>
      <c r="L18" s="36">
        <f t="shared" si="11"/>
        <v>1.1072741882323034</v>
      </c>
      <c r="M18" s="35">
        <f>2311.36*1.25</f>
        <v>2889.2000000000003</v>
      </c>
      <c r="N18" s="36">
        <f t="shared" si="12"/>
        <v>2.3700354414305855</v>
      </c>
      <c r="O18" s="35">
        <f>1.25*1883.6</f>
        <v>2354.5</v>
      </c>
      <c r="P18" s="36">
        <f t="shared" si="13"/>
        <v>2.249896678667071</v>
      </c>
      <c r="Q18" s="18"/>
    </row>
    <row r="19" spans="1:17" ht="15">
      <c r="A19" s="20"/>
      <c r="B19" s="28" t="s">
        <v>46</v>
      </c>
      <c r="C19" s="35">
        <f>1.25*2101.6</f>
        <v>2627</v>
      </c>
      <c r="D19" s="36">
        <f t="shared" si="7"/>
        <v>4.528198789133444</v>
      </c>
      <c r="E19" s="35">
        <f>1.25*2654.4</f>
        <v>3318</v>
      </c>
      <c r="F19" s="36">
        <f t="shared" si="8"/>
        <v>4.738683322990969</v>
      </c>
      <c r="G19" s="35">
        <f>1.25*1970.24</f>
        <v>2462.8</v>
      </c>
      <c r="H19" s="36">
        <f t="shared" si="9"/>
        <v>3.0910554809818125</v>
      </c>
      <c r="I19" s="35">
        <f>3062.4*1.25</f>
        <v>3828</v>
      </c>
      <c r="J19" s="36">
        <f t="shared" si="10"/>
        <v>4.4398334714498855</v>
      </c>
      <c r="K19" s="35">
        <f>2607.68*1.25</f>
        <v>3259.6</v>
      </c>
      <c r="L19" s="36">
        <f t="shared" si="11"/>
        <v>3.5109639532704437</v>
      </c>
      <c r="M19" s="35">
        <f>2411.44*1.25</f>
        <v>3014.3</v>
      </c>
      <c r="N19" s="36">
        <f t="shared" si="12"/>
        <v>2.472656040116369</v>
      </c>
      <c r="O19" s="35">
        <f>1.25*2868.88</f>
        <v>3586.1000000000004</v>
      </c>
      <c r="P19" s="36">
        <f t="shared" si="13"/>
        <v>3.426780411708636</v>
      </c>
      <c r="Q19" s="18"/>
    </row>
    <row r="20" spans="1:17" ht="15">
      <c r="A20" s="20"/>
      <c r="B20" s="28" t="s">
        <v>47</v>
      </c>
      <c r="C20" s="35">
        <v>0</v>
      </c>
      <c r="D20" s="36">
        <f t="shared" si="7"/>
        <v>0</v>
      </c>
      <c r="E20" s="35">
        <v>0</v>
      </c>
      <c r="F20" s="36">
        <f t="shared" si="8"/>
        <v>0</v>
      </c>
      <c r="G20" s="35">
        <v>0</v>
      </c>
      <c r="H20" s="36">
        <f t="shared" si="9"/>
        <v>0</v>
      </c>
      <c r="I20" s="35">
        <v>0</v>
      </c>
      <c r="J20" s="36">
        <f t="shared" si="10"/>
        <v>0</v>
      </c>
      <c r="K20" s="35">
        <v>0</v>
      </c>
      <c r="L20" s="36">
        <f t="shared" si="11"/>
        <v>0</v>
      </c>
      <c r="M20" s="35">
        <v>0</v>
      </c>
      <c r="N20" s="36">
        <f t="shared" si="12"/>
        <v>0</v>
      </c>
      <c r="O20" s="35">
        <v>0</v>
      </c>
      <c r="P20" s="36">
        <f t="shared" si="13"/>
        <v>0</v>
      </c>
      <c r="Q20" s="18"/>
    </row>
    <row r="21" spans="1:17" ht="15">
      <c r="A21" s="20"/>
      <c r="B21" s="28" t="s">
        <v>48</v>
      </c>
      <c r="C21" s="35">
        <v>16</v>
      </c>
      <c r="D21" s="36">
        <f t="shared" si="7"/>
        <v>0.02757943685806437</v>
      </c>
      <c r="E21" s="35">
        <v>91</v>
      </c>
      <c r="F21" s="36">
        <f t="shared" si="8"/>
        <v>0.12996388860523755</v>
      </c>
      <c r="G21" s="35">
        <v>270</v>
      </c>
      <c r="H21" s="36">
        <f t="shared" si="9"/>
        <v>0.33887647387733044</v>
      </c>
      <c r="I21" s="35">
        <v>259</v>
      </c>
      <c r="J21" s="36">
        <f t="shared" si="10"/>
        <v>0.3003962562971579</v>
      </c>
      <c r="K21" s="35">
        <v>263</v>
      </c>
      <c r="L21" s="36">
        <f t="shared" si="11"/>
        <v>0.28328123687266127</v>
      </c>
      <c r="M21" s="35">
        <v>257</v>
      </c>
      <c r="N21" s="36">
        <f t="shared" si="12"/>
        <v>0.21081929546160197</v>
      </c>
      <c r="O21" s="35">
        <v>51</v>
      </c>
      <c r="P21" s="36">
        <f t="shared" si="13"/>
        <v>0.04873422408665136</v>
      </c>
      <c r="Q21" s="18"/>
    </row>
    <row r="22" spans="1:17" ht="15">
      <c r="A22" s="20"/>
      <c r="B22" s="28" t="s">
        <v>60</v>
      </c>
      <c r="C22" s="35">
        <f>1.25*1296</f>
        <v>1620</v>
      </c>
      <c r="D22" s="36">
        <f t="shared" si="7"/>
        <v>2.792417981879017</v>
      </c>
      <c r="E22" s="35">
        <f>1801.28*1.25</f>
        <v>2251.6</v>
      </c>
      <c r="F22" s="36">
        <f t="shared" si="8"/>
        <v>3.215677929489592</v>
      </c>
      <c r="G22" s="35">
        <f>1.25*1951.6</f>
        <v>2439.5</v>
      </c>
      <c r="H22" s="36">
        <f t="shared" si="9"/>
        <v>3.0618116963842503</v>
      </c>
      <c r="I22" s="35">
        <f>2181.6*1.25</f>
        <v>2727</v>
      </c>
      <c r="J22" s="36">
        <f t="shared" si="10"/>
        <v>3.162859424410616</v>
      </c>
      <c r="K22" s="35">
        <f>2297.6*1.25</f>
        <v>2872</v>
      </c>
      <c r="L22" s="36">
        <f t="shared" si="11"/>
        <v>3.093474191248225</v>
      </c>
      <c r="M22" s="35">
        <f>2050.4*1.25</f>
        <v>2563</v>
      </c>
      <c r="N22" s="36">
        <f t="shared" si="12"/>
        <v>2.1024507948174547</v>
      </c>
      <c r="O22" s="35">
        <f>1.25*3410.48</f>
        <v>4263.1</v>
      </c>
      <c r="P22" s="36">
        <f t="shared" si="13"/>
        <v>4.0737033471334</v>
      </c>
      <c r="Q22" s="18"/>
    </row>
    <row r="23" spans="1:17" ht="15">
      <c r="A23" s="20"/>
      <c r="B23" s="28" t="s">
        <v>49</v>
      </c>
      <c r="C23" s="35">
        <f>(2416-39)*1.25</f>
        <v>2971.25</v>
      </c>
      <c r="D23" s="36">
        <f t="shared" si="7"/>
        <v>5.1215876102827345</v>
      </c>
      <c r="E23" s="35">
        <f>3248.4*1.25</f>
        <v>4060.5</v>
      </c>
      <c r="F23" s="36">
        <f t="shared" si="8"/>
        <v>5.799102963533704</v>
      </c>
      <c r="G23" s="35">
        <f>1.25*3116.4</f>
        <v>3895.5</v>
      </c>
      <c r="H23" s="36">
        <f t="shared" si="9"/>
        <v>4.88923445921904</v>
      </c>
      <c r="I23" s="35">
        <f>4014.08*1.25</f>
        <v>5017.6</v>
      </c>
      <c r="J23" s="36">
        <f t="shared" si="10"/>
        <v>5.819568554427102</v>
      </c>
      <c r="K23" s="35">
        <f>1.25*2973.28</f>
        <v>3716.6000000000004</v>
      </c>
      <c r="L23" s="36">
        <f t="shared" si="11"/>
        <v>4.003205494148034</v>
      </c>
      <c r="M23" s="35">
        <f>4224*1.25</f>
        <v>5280</v>
      </c>
      <c r="N23" s="36">
        <f t="shared" si="12"/>
        <v>4.33122910520334</v>
      </c>
      <c r="O23" s="35">
        <f>1.25*4564.8</f>
        <v>5706</v>
      </c>
      <c r="P23" s="36">
        <f t="shared" si="13"/>
        <v>5.452499659577111</v>
      </c>
      <c r="Q23" s="18"/>
    </row>
    <row r="24" spans="1:17" ht="15.75" thickBot="1">
      <c r="A24" s="20"/>
      <c r="B24" s="28" t="s">
        <v>50</v>
      </c>
      <c r="C24" s="35">
        <f>26*1.25</f>
        <v>32.5</v>
      </c>
      <c r="D24" s="36">
        <f t="shared" si="7"/>
        <v>0.05602073111794325</v>
      </c>
      <c r="E24" s="35">
        <f>55.6*1.25</f>
        <v>69.5</v>
      </c>
      <c r="F24" s="36">
        <f t="shared" si="8"/>
        <v>0.0992581347040001</v>
      </c>
      <c r="G24" s="35">
        <f>1.25*50.2</f>
        <v>62.75</v>
      </c>
      <c r="H24" s="36">
        <f t="shared" si="9"/>
        <v>0.0787574027251944</v>
      </c>
      <c r="I24" s="35">
        <f>48.8*1.25</f>
        <v>61</v>
      </c>
      <c r="J24" s="36">
        <f t="shared" si="10"/>
        <v>0.07074969742906036</v>
      </c>
      <c r="K24" s="35">
        <f>36.2*1.25</f>
        <v>45.25</v>
      </c>
      <c r="L24" s="36">
        <f t="shared" si="11"/>
        <v>0.0487394523516651</v>
      </c>
      <c r="M24" s="35">
        <f>1.25*70.2</f>
        <v>87.75</v>
      </c>
      <c r="N24" s="36">
        <f t="shared" si="12"/>
        <v>0.07198207461772596</v>
      </c>
      <c r="O24" s="35">
        <f>1.25*54.4</f>
        <v>68</v>
      </c>
      <c r="P24" s="36">
        <f t="shared" si="13"/>
        <v>0.06497896544886847</v>
      </c>
      <c r="Q24" s="18"/>
    </row>
    <row r="25" spans="1:17" ht="16.5" thickBot="1" thickTop="1">
      <c r="A25" s="20"/>
      <c r="B25" s="27" t="s">
        <v>9</v>
      </c>
      <c r="C25" s="33">
        <f>SUM(C4:C24)</f>
        <v>58010.2375</v>
      </c>
      <c r="D25" s="34"/>
      <c r="E25" s="33">
        <f>SUM(E4:E24)</f>
        <v>69996.7</v>
      </c>
      <c r="F25" s="34"/>
      <c r="G25" s="33">
        <f>SUM(G4:G24)</f>
        <v>79607.55</v>
      </c>
      <c r="H25" s="34"/>
      <c r="I25" s="33">
        <f>SUM(I4:I24)</f>
        <v>86154.70000000003</v>
      </c>
      <c r="J25" s="34"/>
      <c r="K25" s="33">
        <f>SUM(K4:K24)</f>
        <v>92774.85</v>
      </c>
      <c r="L25" s="34"/>
      <c r="M25" s="33">
        <f>SUM(M4:M24)</f>
        <v>121841.1</v>
      </c>
      <c r="N25" s="34"/>
      <c r="O25" s="33">
        <f>SUM(O4:O24)</f>
        <v>104636.50000000001</v>
      </c>
      <c r="P25" s="34"/>
      <c r="Q25" s="18"/>
    </row>
    <row r="26" spans="1:17" ht="16.5" thickBot="1" thickTop="1">
      <c r="A26" s="20"/>
      <c r="B26" s="27" t="s">
        <v>10</v>
      </c>
      <c r="C26" s="33">
        <f>C25*0.8+C21*0.2</f>
        <v>46411.39</v>
      </c>
      <c r="D26" s="34"/>
      <c r="E26" s="33">
        <f>E25*0.8+E21*0.2</f>
        <v>56015.56</v>
      </c>
      <c r="F26" s="34"/>
      <c r="G26" s="33">
        <f>G25*0.8+G21*0.2</f>
        <v>63740.04000000001</v>
      </c>
      <c r="H26" s="34"/>
      <c r="I26" s="33">
        <f>I25*0.8+I21*0.2</f>
        <v>68975.56000000003</v>
      </c>
      <c r="J26" s="34"/>
      <c r="K26" s="33">
        <f>K25*0.8+K21*0.2</f>
        <v>74272.48000000001</v>
      </c>
      <c r="L26" s="34"/>
      <c r="M26" s="33">
        <f>M25*0.8+M21*0.2</f>
        <v>97524.28</v>
      </c>
      <c r="N26" s="34"/>
      <c r="O26" s="33">
        <f>O25*0.8+O21*0.2</f>
        <v>83719.40000000001</v>
      </c>
      <c r="P26" s="34"/>
      <c r="Q26" s="18"/>
    </row>
    <row r="27" spans="1:17" ht="16.5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6.5" thickBot="1" thickTop="1">
      <c r="A28" s="20"/>
      <c r="B28" s="27" t="s">
        <v>11</v>
      </c>
      <c r="C28" s="38"/>
      <c r="D28" s="5">
        <v>25</v>
      </c>
      <c r="E28" s="38"/>
      <c r="F28" s="5">
        <v>25</v>
      </c>
      <c r="G28" s="38"/>
      <c r="H28" s="5">
        <v>24</v>
      </c>
      <c r="I28" s="38"/>
      <c r="J28" s="5">
        <v>25</v>
      </c>
      <c r="K28" s="38"/>
      <c r="L28" s="5">
        <v>24</v>
      </c>
      <c r="M28" s="38"/>
      <c r="N28" s="5">
        <v>26</v>
      </c>
      <c r="O28" s="38"/>
      <c r="P28" s="5">
        <v>26</v>
      </c>
      <c r="Q28" s="18"/>
    </row>
    <row r="29" spans="1:17" ht="16.5" thickBot="1" thickTop="1">
      <c r="A29" s="20"/>
      <c r="B29" s="27" t="s">
        <v>12</v>
      </c>
      <c r="C29" s="38">
        <f>C25/D28</f>
        <v>2320.4095</v>
      </c>
      <c r="D29" s="37"/>
      <c r="E29" s="38">
        <f>E25/F28</f>
        <v>2799.868</v>
      </c>
      <c r="F29" s="37"/>
      <c r="G29" s="38">
        <f>G25/H28</f>
        <v>3316.9812500000003</v>
      </c>
      <c r="H29" s="37"/>
      <c r="I29" s="38">
        <f>I25/J28</f>
        <v>3446.188000000001</v>
      </c>
      <c r="J29" s="37"/>
      <c r="K29" s="38">
        <f>K25/L28</f>
        <v>3865.61875</v>
      </c>
      <c r="L29" s="37"/>
      <c r="M29" s="38">
        <f>M25/N28</f>
        <v>4686.196153846154</v>
      </c>
      <c r="N29" s="37"/>
      <c r="O29" s="38">
        <f>O25/P28</f>
        <v>4024.48076923077</v>
      </c>
      <c r="P29" s="37"/>
      <c r="Q29" s="19"/>
    </row>
    <row r="30" spans="1:17" ht="16.5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6.5" thickBot="1" thickTop="1">
      <c r="A31" s="20"/>
      <c r="B31" s="27" t="s">
        <v>62</v>
      </c>
      <c r="C31" s="38">
        <v>2243</v>
      </c>
      <c r="D31" s="37"/>
      <c r="E31" s="38">
        <v>2854</v>
      </c>
      <c r="F31" s="37"/>
      <c r="G31" s="38">
        <v>2718</v>
      </c>
      <c r="H31" s="37"/>
      <c r="I31" s="38">
        <v>3372</v>
      </c>
      <c r="J31" s="37"/>
      <c r="K31" s="38">
        <v>3743</v>
      </c>
      <c r="L31" s="37"/>
      <c r="M31" s="38">
        <v>3462</v>
      </c>
      <c r="N31" s="37"/>
      <c r="O31" s="38">
        <v>3857</v>
      </c>
      <c r="P31" s="37"/>
      <c r="Q31" s="19"/>
    </row>
    <row r="32" spans="1:17" ht="16.5" thickBot="1" thickTop="1">
      <c r="A32" s="20"/>
      <c r="B32" s="52" t="s">
        <v>58</v>
      </c>
      <c r="C32" s="53">
        <v>2162</v>
      </c>
      <c r="D32" s="54"/>
      <c r="E32" s="53">
        <v>3091</v>
      </c>
      <c r="F32" s="54"/>
      <c r="G32" s="53">
        <v>3008</v>
      </c>
      <c r="H32" s="54"/>
      <c r="I32" s="53">
        <v>2928</v>
      </c>
      <c r="J32" s="54"/>
      <c r="K32" s="53">
        <v>3817</v>
      </c>
      <c r="L32" s="54"/>
      <c r="M32" s="53">
        <v>3465</v>
      </c>
      <c r="N32" s="54"/>
      <c r="O32" s="53">
        <v>3227</v>
      </c>
      <c r="P32" s="55"/>
      <c r="Q32" s="19"/>
    </row>
    <row r="33" spans="1:17" ht="16.5" thickBot="1" thickTop="1">
      <c r="A33" s="20"/>
      <c r="B33" s="26"/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9"/>
      <c r="P33" s="32"/>
      <c r="Q33" s="20"/>
    </row>
    <row r="34" spans="1:17" ht="16.5" thickBot="1" thickTop="1">
      <c r="A34" s="20"/>
      <c r="B34" s="27" t="s">
        <v>0</v>
      </c>
      <c r="C34" s="49" t="s">
        <v>13</v>
      </c>
      <c r="D34" s="47" t="s">
        <v>2</v>
      </c>
      <c r="E34" s="49" t="s">
        <v>14</v>
      </c>
      <c r="F34" s="47" t="s">
        <v>2</v>
      </c>
      <c r="G34" s="49" t="s">
        <v>15</v>
      </c>
      <c r="H34" s="47" t="s">
        <v>2</v>
      </c>
      <c r="I34" s="49" t="s">
        <v>16</v>
      </c>
      <c r="J34" s="47" t="s">
        <v>2</v>
      </c>
      <c r="K34" s="49" t="s">
        <v>17</v>
      </c>
      <c r="L34" s="47" t="s">
        <v>2</v>
      </c>
      <c r="M34" s="49" t="s">
        <v>18</v>
      </c>
      <c r="N34" s="48"/>
      <c r="O34" s="50" t="s">
        <v>19</v>
      </c>
      <c r="P34" s="47" t="s">
        <v>2</v>
      </c>
      <c r="Q34" s="18"/>
    </row>
    <row r="35" spans="1:17" ht="15.75" thickTop="1">
      <c r="A35" s="20"/>
      <c r="B35" s="27" t="s">
        <v>31</v>
      </c>
      <c r="C35" s="33">
        <f>1.25*2979.04</f>
        <v>3723.8</v>
      </c>
      <c r="D35" s="34">
        <f aca="true" t="shared" si="14" ref="D35:D45">80*C35/C$57</f>
        <v>3.75902583106289</v>
      </c>
      <c r="E35" s="33">
        <f>1.25*3351.12</f>
        <v>4188.9</v>
      </c>
      <c r="F35" s="34">
        <f aca="true" t="shared" si="15" ref="F35:F45">80*E35/E$57</f>
        <v>4.85185785767235</v>
      </c>
      <c r="G35" s="33">
        <f>1.25*2836.4</f>
        <v>3545.5</v>
      </c>
      <c r="H35" s="34">
        <f aca="true" t="shared" si="16" ref="H35:H45">80*G35/G$57</f>
        <v>4.024161997064876</v>
      </c>
      <c r="I35" s="33">
        <f>1.25*2336.4</f>
        <v>2920.5</v>
      </c>
      <c r="J35" s="34">
        <f aca="true" t="shared" si="17" ref="J35:J45">80*I35/I$57</f>
        <v>2.692810734730251</v>
      </c>
      <c r="K35" s="33">
        <f>1.25*8289.88</f>
        <v>10362.349999999999</v>
      </c>
      <c r="L35" s="34">
        <f aca="true" t="shared" si="18" ref="L35:L45">80*K35/K$57</f>
        <v>3.466856787551453</v>
      </c>
      <c r="M35" s="33"/>
      <c r="N35" s="40"/>
      <c r="O35" s="38">
        <f aca="true" t="shared" si="19" ref="O35:O55">C4+E4+G4+I4+K4+M4+O4+C35+E35+G35+I35+K35+M35</f>
        <v>55819.037500000006</v>
      </c>
      <c r="P35" s="34">
        <f aca="true" t="shared" si="20" ref="P35:P45">O35*80/$O$57</f>
        <v>4.313079491311718</v>
      </c>
      <c r="Q35" s="18"/>
    </row>
    <row r="36" spans="1:17" ht="15">
      <c r="A36" s="20"/>
      <c r="B36" s="28" t="s">
        <v>32</v>
      </c>
      <c r="C36" s="35">
        <f>1.25*6702</f>
        <v>8377.5</v>
      </c>
      <c r="D36" s="36">
        <f t="shared" si="14"/>
        <v>8.45674818726284</v>
      </c>
      <c r="E36" s="35">
        <f>1.25*3812</f>
        <v>4765</v>
      </c>
      <c r="F36" s="36">
        <f t="shared" si="15"/>
        <v>5.519134544106746</v>
      </c>
      <c r="G36" s="35">
        <f>1.25*3609.6</f>
        <v>4512</v>
      </c>
      <c r="H36" s="36">
        <f t="shared" si="16"/>
        <v>5.121144811946615</v>
      </c>
      <c r="I36" s="35">
        <f>1.25*4907.2</f>
        <v>6134</v>
      </c>
      <c r="J36" s="36">
        <f t="shared" si="17"/>
        <v>5.655778478628783</v>
      </c>
      <c r="K36" s="35">
        <f>1.25*12784.8</f>
        <v>15981</v>
      </c>
      <c r="L36" s="36">
        <f t="shared" si="18"/>
        <v>5.346648040440613</v>
      </c>
      <c r="M36" s="35"/>
      <c r="N36" s="41"/>
      <c r="O36" s="42">
        <f t="shared" si="19"/>
        <v>78335</v>
      </c>
      <c r="P36" s="36">
        <f t="shared" si="20"/>
        <v>6.052864705019384</v>
      </c>
      <c r="Q36" s="18"/>
    </row>
    <row r="37" spans="1:17" ht="15">
      <c r="A37" s="20"/>
      <c r="B37" s="28" t="s">
        <v>33</v>
      </c>
      <c r="C37" s="35">
        <f>1.25*4564.08</f>
        <v>5705.1</v>
      </c>
      <c r="D37" s="36">
        <f t="shared" si="14"/>
        <v>5.759068228368037</v>
      </c>
      <c r="E37" s="35">
        <f>1.25*3346.4</f>
        <v>4183</v>
      </c>
      <c r="F37" s="36">
        <f t="shared" si="15"/>
        <v>4.8450240919199405</v>
      </c>
      <c r="G37" s="35">
        <f>1.25*3492.88</f>
        <v>4366.1</v>
      </c>
      <c r="H37" s="36">
        <f t="shared" si="16"/>
        <v>4.955547509627685</v>
      </c>
      <c r="I37" s="35">
        <f>1.25*5185.6</f>
        <v>6482</v>
      </c>
      <c r="J37" s="36">
        <f t="shared" si="17"/>
        <v>5.9766475543644875</v>
      </c>
      <c r="K37" s="35">
        <f>1.25*10901.52</f>
        <v>13626.900000000001</v>
      </c>
      <c r="L37" s="36">
        <f t="shared" si="18"/>
        <v>4.55905376273576</v>
      </c>
      <c r="M37" s="35"/>
      <c r="N37" s="41"/>
      <c r="O37" s="42">
        <f t="shared" si="19"/>
        <v>64159.2</v>
      </c>
      <c r="P37" s="36">
        <f t="shared" si="20"/>
        <v>4.957515250938656</v>
      </c>
      <c r="Q37" s="18"/>
    </row>
    <row r="38" spans="1:17" ht="15">
      <c r="A38" s="20"/>
      <c r="B38" s="28" t="s">
        <v>34</v>
      </c>
      <c r="C38" s="35">
        <f>1.25*2923.68</f>
        <v>3654.6</v>
      </c>
      <c r="D38" s="36">
        <f t="shared" si="14"/>
        <v>3.6891712235357534</v>
      </c>
      <c r="E38" s="35">
        <f>1.25*5975.2</f>
        <v>7469</v>
      </c>
      <c r="F38" s="36">
        <f t="shared" si="15"/>
        <v>8.651084136397332</v>
      </c>
      <c r="G38" s="35">
        <f>1.25*11704.4</f>
        <v>14630.5</v>
      </c>
      <c r="H38" s="36">
        <f t="shared" si="16"/>
        <v>16.605697954606594</v>
      </c>
      <c r="I38" s="35">
        <f>1.25*11782.4</f>
        <v>14728</v>
      </c>
      <c r="J38" s="36">
        <f t="shared" si="17"/>
        <v>13.579769389182378</v>
      </c>
      <c r="K38" s="35">
        <f>1.25*28226.96</f>
        <v>35283.7</v>
      </c>
      <c r="L38" s="36">
        <f t="shared" si="18"/>
        <v>11.804613319848222</v>
      </c>
      <c r="M38" s="35"/>
      <c r="N38" s="41"/>
      <c r="O38" s="42">
        <f t="shared" si="19"/>
        <v>107749.49999999999</v>
      </c>
      <c r="P38" s="36">
        <f t="shared" si="20"/>
        <v>8.32569280058066</v>
      </c>
      <c r="Q38" s="18"/>
    </row>
    <row r="39" spans="1:17" ht="15">
      <c r="A39" s="20"/>
      <c r="B39" s="28" t="s">
        <v>35</v>
      </c>
      <c r="C39" s="35">
        <f>1.25*4620.8</f>
        <v>5776</v>
      </c>
      <c r="D39" s="36">
        <f t="shared" si="14"/>
        <v>5.830638917293961</v>
      </c>
      <c r="E39" s="35">
        <f>1.25*6042.8</f>
        <v>7553.5</v>
      </c>
      <c r="F39" s="36">
        <f t="shared" si="15"/>
        <v>8.748957561156411</v>
      </c>
      <c r="G39" s="35">
        <f>1.25*5374.4</f>
        <v>6718</v>
      </c>
      <c r="H39" s="36">
        <f t="shared" si="16"/>
        <v>7.624966942964839</v>
      </c>
      <c r="I39" s="35">
        <f>1.25*4245.68</f>
        <v>5307.1</v>
      </c>
      <c r="J39" s="36">
        <f t="shared" si="17"/>
        <v>4.893345608726901</v>
      </c>
      <c r="K39" s="35">
        <f>1.25*13798.4</f>
        <v>17248</v>
      </c>
      <c r="L39" s="36">
        <f t="shared" si="18"/>
        <v>5.770539102779531</v>
      </c>
      <c r="M39" s="35"/>
      <c r="N39" s="41"/>
      <c r="O39" s="42">
        <f t="shared" si="19"/>
        <v>77169.79999999999</v>
      </c>
      <c r="P39" s="36">
        <f t="shared" si="20"/>
        <v>5.962830902066825</v>
      </c>
      <c r="Q39" s="18"/>
    </row>
    <row r="40" spans="1:17" ht="15">
      <c r="A40" s="20"/>
      <c r="B40" s="28" t="s">
        <v>51</v>
      </c>
      <c r="C40" s="35">
        <f>1.25*3192.8</f>
        <v>3991</v>
      </c>
      <c r="D40" s="36">
        <f t="shared" si="14"/>
        <v>4.028753448566516</v>
      </c>
      <c r="E40" s="35">
        <f>1.25*1738.4</f>
        <v>2173</v>
      </c>
      <c r="F40" s="36">
        <f t="shared" si="15"/>
        <v>2.5169106745737584</v>
      </c>
      <c r="G40" s="35">
        <f>1.25*1789.6</f>
        <v>2237</v>
      </c>
      <c r="H40" s="36">
        <f t="shared" si="16"/>
        <v>2.539007301490376</v>
      </c>
      <c r="I40" s="35">
        <f>1.25*654.4</f>
        <v>818</v>
      </c>
      <c r="J40" s="36">
        <f t="shared" si="17"/>
        <v>0.7542267354936981</v>
      </c>
      <c r="K40" s="35">
        <f>1.25*3338.4</f>
        <v>4173</v>
      </c>
      <c r="L40" s="36">
        <f t="shared" si="18"/>
        <v>1.3961305470720653</v>
      </c>
      <c r="M40" s="35"/>
      <c r="N40" s="41"/>
      <c r="O40" s="42">
        <f t="shared" si="19"/>
        <v>28518</v>
      </c>
      <c r="P40" s="36">
        <f t="shared" si="20"/>
        <v>2.2035564646421495</v>
      </c>
      <c r="Q40" s="18"/>
    </row>
    <row r="41" spans="1:17" ht="15">
      <c r="A41" s="20"/>
      <c r="B41" s="28" t="s">
        <v>37</v>
      </c>
      <c r="C41" s="35">
        <f>1.25*7096</f>
        <v>8870</v>
      </c>
      <c r="D41" s="36">
        <f t="shared" si="14"/>
        <v>8.953907063088199</v>
      </c>
      <c r="E41" s="35">
        <f>1.25*2686.4</f>
        <v>3358</v>
      </c>
      <c r="F41" s="36">
        <f t="shared" si="15"/>
        <v>3.889455151964418</v>
      </c>
      <c r="G41" s="35">
        <f>1.25*2760</f>
        <v>3450</v>
      </c>
      <c r="H41" s="36">
        <f t="shared" si="16"/>
        <v>3.915768971900669</v>
      </c>
      <c r="I41" s="35">
        <f>1.25*951.2</f>
        <v>1189</v>
      </c>
      <c r="J41" s="36">
        <f t="shared" si="17"/>
        <v>1.0963026754303264</v>
      </c>
      <c r="K41" s="35">
        <f>1.25*5411.2</f>
        <v>6764</v>
      </c>
      <c r="L41" s="36">
        <f t="shared" si="18"/>
        <v>2.2629827511132157</v>
      </c>
      <c r="M41" s="35"/>
      <c r="N41" s="41"/>
      <c r="O41" s="42">
        <f t="shared" si="19"/>
        <v>132258</v>
      </c>
      <c r="P41" s="36">
        <f t="shared" si="20"/>
        <v>10.2194393330753</v>
      </c>
      <c r="Q41" s="18"/>
    </row>
    <row r="42" spans="1:17" ht="15">
      <c r="A42" s="20"/>
      <c r="B42" s="28" t="s">
        <v>38</v>
      </c>
      <c r="C42" s="35">
        <f>1.25*10203.28</f>
        <v>12754.1</v>
      </c>
      <c r="D42" s="36">
        <f t="shared" si="14"/>
        <v>12.874749275460339</v>
      </c>
      <c r="E42" s="35">
        <f>1.25*8812</f>
        <v>11015</v>
      </c>
      <c r="F42" s="36">
        <f t="shared" si="15"/>
        <v>12.758293180133432</v>
      </c>
      <c r="G42" s="35">
        <f>1.25*9234.8</f>
        <v>11543.5</v>
      </c>
      <c r="H42" s="36">
        <f t="shared" si="16"/>
        <v>13.101935978879819</v>
      </c>
      <c r="I42" s="35">
        <f>1.25*11800.56</f>
        <v>14750.699999999999</v>
      </c>
      <c r="J42" s="36">
        <f t="shared" si="17"/>
        <v>13.600699642111115</v>
      </c>
      <c r="K42" s="35">
        <f>1.25*33118.16</f>
        <v>41397.700000000004</v>
      </c>
      <c r="L42" s="36">
        <f t="shared" si="18"/>
        <v>13.850130253660495</v>
      </c>
      <c r="M42" s="35"/>
      <c r="N42" s="41"/>
      <c r="O42" s="42">
        <f t="shared" si="19"/>
        <v>160474.4</v>
      </c>
      <c r="P42" s="36">
        <f t="shared" si="20"/>
        <v>12.39969147659619</v>
      </c>
      <c r="Q42" s="18"/>
    </row>
    <row r="43" spans="1:17" ht="15">
      <c r="A43" s="20"/>
      <c r="B43" s="28" t="s">
        <v>39</v>
      </c>
      <c r="C43" s="35">
        <f>6145.2*1.25-C44</f>
        <v>6280.5</v>
      </c>
      <c r="D43" s="36">
        <f t="shared" si="14"/>
        <v>6.339911308875472</v>
      </c>
      <c r="E43" s="35">
        <f>1.25*5664.88-E44</f>
        <v>5135.1</v>
      </c>
      <c r="F43" s="36">
        <f t="shared" si="15"/>
        <v>5.947808561897702</v>
      </c>
      <c r="G43" s="35">
        <f>1.25*5309.68-G44</f>
        <v>4363.1</v>
      </c>
      <c r="H43" s="36">
        <f t="shared" si="16"/>
        <v>4.9521424931303795</v>
      </c>
      <c r="I43" s="35">
        <f>1.25*5308-I44</f>
        <v>5334</v>
      </c>
      <c r="J43" s="36">
        <f t="shared" si="17"/>
        <v>4.918148419466242</v>
      </c>
      <c r="K43" s="35">
        <f>1.25*16188.48-K44</f>
        <v>16085.099999999999</v>
      </c>
      <c r="L43" s="36">
        <f t="shared" si="18"/>
        <v>5.381476027488349</v>
      </c>
      <c r="M43" s="35"/>
      <c r="N43" s="41"/>
      <c r="O43" s="42">
        <f t="shared" si="19"/>
        <v>80812.1</v>
      </c>
      <c r="P43" s="36">
        <f t="shared" si="20"/>
        <v>6.244267668711265</v>
      </c>
      <c r="Q43" s="18"/>
    </row>
    <row r="44" spans="1:17" ht="15">
      <c r="A44" s="20"/>
      <c r="B44" s="28" t="s">
        <v>40</v>
      </c>
      <c r="C44" s="35">
        <f>1.25*1120.8</f>
        <v>1401</v>
      </c>
      <c r="D44" s="36">
        <f t="shared" si="14"/>
        <v>1.4142529645306163</v>
      </c>
      <c r="E44" s="35">
        <f>1.25*1556.8</f>
        <v>1946</v>
      </c>
      <c r="F44" s="36">
        <f t="shared" si="15"/>
        <v>2.2539844329132688</v>
      </c>
      <c r="G44" s="35">
        <f>1.25*1819.2</f>
        <v>2274</v>
      </c>
      <c r="H44" s="36">
        <f t="shared" si="16"/>
        <v>2.581002504957137</v>
      </c>
      <c r="I44" s="35">
        <f>1.25*1040.8</f>
        <v>1301</v>
      </c>
      <c r="J44" s="36">
        <f t="shared" si="17"/>
        <v>1.1995708837130823</v>
      </c>
      <c r="K44" s="35">
        <f>1.25*3320.4</f>
        <v>4150.5</v>
      </c>
      <c r="L44" s="36">
        <f t="shared" si="18"/>
        <v>1.388602884165494</v>
      </c>
      <c r="M44" s="35"/>
      <c r="N44" s="41"/>
      <c r="O44" s="42">
        <f t="shared" si="19"/>
        <v>20629.5</v>
      </c>
      <c r="P44" s="36">
        <f t="shared" si="20"/>
        <v>1.5940202008322892</v>
      </c>
      <c r="Q44" s="18"/>
    </row>
    <row r="45" spans="1:17" ht="15">
      <c r="A45" s="20"/>
      <c r="B45" s="28" t="s">
        <v>41</v>
      </c>
      <c r="C45" s="35">
        <f>1.25*9060.88</f>
        <v>11326.099999999999</v>
      </c>
      <c r="D45" s="36">
        <f t="shared" si="14"/>
        <v>11.433240900478381</v>
      </c>
      <c r="E45" s="35">
        <f>1.25*9599.28</f>
        <v>11999.1</v>
      </c>
      <c r="F45" s="36">
        <f t="shared" si="15"/>
        <v>13.89814214232765</v>
      </c>
      <c r="G45" s="35">
        <f>1.25*4807.2</f>
        <v>6009</v>
      </c>
      <c r="H45" s="36">
        <f t="shared" si="16"/>
        <v>6.820248044101775</v>
      </c>
      <c r="I45" s="35">
        <f>1.25*6292.8</f>
        <v>7866</v>
      </c>
      <c r="J45" s="36">
        <f t="shared" si="17"/>
        <v>7.252747556715684</v>
      </c>
      <c r="K45" s="35">
        <f>1.25*22801.56</f>
        <v>28501.95</v>
      </c>
      <c r="L45" s="36">
        <f t="shared" si="18"/>
        <v>9.535692079108712</v>
      </c>
      <c r="M45" s="35"/>
      <c r="N45" s="41"/>
      <c r="O45" s="42">
        <f t="shared" si="19"/>
        <v>108147.65</v>
      </c>
      <c r="P45" s="36">
        <f t="shared" si="20"/>
        <v>8.356457440681554</v>
      </c>
      <c r="Q45" s="18"/>
    </row>
    <row r="46" spans="1:17" ht="15">
      <c r="A46" s="20"/>
      <c r="B46" s="28" t="s">
        <v>42</v>
      </c>
      <c r="C46" s="35">
        <f>1.25*3054.48</f>
        <v>3818.1</v>
      </c>
      <c r="D46" s="36">
        <f>100*C46/C$57</f>
        <v>4.817772344641637</v>
      </c>
      <c r="E46" s="35">
        <f>1.25*3483.68</f>
        <v>4354.599999999999</v>
      </c>
      <c r="F46" s="36">
        <f>100*E46/E$57</f>
        <v>6.304728039288361</v>
      </c>
      <c r="G46" s="35">
        <f>1.25*2682</f>
        <v>3352.5</v>
      </c>
      <c r="H46" s="36">
        <f>100*G46/G$57</f>
        <v>4.756382419672824</v>
      </c>
      <c r="I46" s="35">
        <f>1.25*4354</f>
        <v>5442.5</v>
      </c>
      <c r="J46" s="36">
        <f>100*I46/I$57</f>
        <v>6.272736870300202</v>
      </c>
      <c r="K46" s="35">
        <f>1.25*10460.24</f>
        <v>13075.3</v>
      </c>
      <c r="L46" s="36">
        <f>100*K46/K$57</f>
        <v>5.468136155682775</v>
      </c>
      <c r="M46" s="35"/>
      <c r="N46" s="41"/>
      <c r="O46" s="42">
        <f t="shared" si="19"/>
        <v>53503.899999999994</v>
      </c>
      <c r="P46" s="36">
        <f>O46*100/$O$57</f>
        <v>5.167739003811938</v>
      </c>
      <c r="Q46" s="18"/>
    </row>
    <row r="47" spans="1:17" ht="15">
      <c r="A47" s="20"/>
      <c r="B47" s="28" t="s">
        <v>43</v>
      </c>
      <c r="C47" s="35">
        <f>1.25*3024</f>
        <v>3780</v>
      </c>
      <c r="D47" s="36">
        <f aca="true" t="shared" si="21" ref="D47:D55">80*C47/C$57</f>
        <v>3.81575746318753</v>
      </c>
      <c r="E47" s="35">
        <f>1.25*2089.04</f>
        <v>2611.3</v>
      </c>
      <c r="F47" s="36">
        <f aca="true" t="shared" si="22" ref="F47:F55">80*E47/E$57</f>
        <v>3.024578391401038</v>
      </c>
      <c r="G47" s="35">
        <f>1.25*2732</f>
        <v>3415</v>
      </c>
      <c r="H47" s="36">
        <f aca="true" t="shared" si="23" ref="H47:H55">80*G47/G$57</f>
        <v>3.876043779432112</v>
      </c>
      <c r="I47" s="35">
        <f>1.25*2852</f>
        <v>3565</v>
      </c>
      <c r="J47" s="36">
        <f aca="true" t="shared" si="24" ref="J47:J55">80*I47/I$57</f>
        <v>3.287063951143073</v>
      </c>
      <c r="K47" s="35">
        <f>1.25*6036.8</f>
        <v>7546</v>
      </c>
      <c r="L47" s="36">
        <f aca="true" t="shared" si="25" ref="L47:L55">80*K47/K$57</f>
        <v>2.524610857466045</v>
      </c>
      <c r="M47" s="35"/>
      <c r="N47" s="41"/>
      <c r="O47" s="42">
        <f t="shared" si="19"/>
        <v>45885.55</v>
      </c>
      <c r="P47" s="36">
        <f aca="true" t="shared" si="26" ref="P47:P55">O47*80/$O$57</f>
        <v>3.545529151278511</v>
      </c>
      <c r="Q47" s="18"/>
    </row>
    <row r="48" spans="1:17" ht="15">
      <c r="A48" s="20"/>
      <c r="B48" s="28" t="s">
        <v>44</v>
      </c>
      <c r="C48" s="35">
        <f>1.25*3089.52</f>
        <v>3861.9</v>
      </c>
      <c r="D48" s="36">
        <f t="shared" si="21"/>
        <v>3.8984322082232596</v>
      </c>
      <c r="E48" s="35">
        <f>1.25*3173.2</f>
        <v>3966.5</v>
      </c>
      <c r="F48" s="36">
        <f t="shared" si="22"/>
        <v>4.594259636767976</v>
      </c>
      <c r="G48" s="35">
        <f>1.25*2560</f>
        <v>3200</v>
      </c>
      <c r="H48" s="36">
        <f t="shared" si="23"/>
        <v>3.6320175971252584</v>
      </c>
      <c r="I48" s="35">
        <f>1.25*4964.8</f>
        <v>6206</v>
      </c>
      <c r="J48" s="36">
        <f t="shared" si="24"/>
        <v>5.722165183953411</v>
      </c>
      <c r="K48" s="35">
        <f>1.25*7353.2</f>
        <v>9191.5</v>
      </c>
      <c r="L48" s="36">
        <f t="shared" si="25"/>
        <v>3.0751339380332827</v>
      </c>
      <c r="M48" s="35"/>
      <c r="N48" s="41"/>
      <c r="O48" s="42">
        <f t="shared" si="19"/>
        <v>52438</v>
      </c>
      <c r="P48" s="36">
        <f t="shared" si="26"/>
        <v>4.0518302087420235</v>
      </c>
      <c r="Q48" s="18"/>
    </row>
    <row r="49" spans="1:17" ht="15">
      <c r="A49" s="20"/>
      <c r="B49" s="28" t="s">
        <v>45</v>
      </c>
      <c r="C49" s="35">
        <f>1.25*1310.4</f>
        <v>1638</v>
      </c>
      <c r="D49" s="36">
        <f t="shared" si="21"/>
        <v>1.6534949007145963</v>
      </c>
      <c r="E49" s="35">
        <f>1.25*1519.6</f>
        <v>1899.5</v>
      </c>
      <c r="F49" s="36">
        <f t="shared" si="22"/>
        <v>2.2001250926612306</v>
      </c>
      <c r="G49" s="35">
        <f>1.25*2133.52</f>
        <v>2666.9</v>
      </c>
      <c r="H49" s="36">
        <f t="shared" si="23"/>
        <v>3.0269461655541727</v>
      </c>
      <c r="I49" s="35">
        <f>1.25*2470.56</f>
        <v>3088.2</v>
      </c>
      <c r="J49" s="36">
        <f t="shared" si="24"/>
        <v>2.8474364358821984</v>
      </c>
      <c r="K49" s="35">
        <f>1.25*10006.76</f>
        <v>12508.45</v>
      </c>
      <c r="L49" s="36">
        <f t="shared" si="25"/>
        <v>4.184862003720004</v>
      </c>
      <c r="M49" s="35"/>
      <c r="N49" s="41"/>
      <c r="O49" s="42">
        <f t="shared" si="19"/>
        <v>32894.55</v>
      </c>
      <c r="P49" s="36">
        <f t="shared" si="26"/>
        <v>2.5417279719473465</v>
      </c>
      <c r="Q49" s="18"/>
    </row>
    <row r="50" spans="1:17" ht="15">
      <c r="A50" s="20"/>
      <c r="B50" s="28" t="s">
        <v>46</v>
      </c>
      <c r="C50" s="35">
        <f>1.25*2929.2</f>
        <v>3661.5</v>
      </c>
      <c r="D50" s="36">
        <f t="shared" si="21"/>
        <v>3.6961364950955398</v>
      </c>
      <c r="E50" s="35">
        <f>1.25*3472.4</f>
        <v>4340.5</v>
      </c>
      <c r="F50" s="36">
        <f t="shared" si="22"/>
        <v>5.027450889547813</v>
      </c>
      <c r="G50" s="35">
        <f>1.25*2688.96</f>
        <v>3361.2</v>
      </c>
      <c r="H50" s="36">
        <f t="shared" si="23"/>
        <v>3.8149804835804435</v>
      </c>
      <c r="I50" s="35">
        <f>1.25*4147.68</f>
        <v>5184.6</v>
      </c>
      <c r="J50" s="36">
        <f t="shared" si="24"/>
        <v>4.780396005917637</v>
      </c>
      <c r="K50" s="35">
        <f>1.25*11873.44</f>
        <v>14841.800000000001</v>
      </c>
      <c r="L50" s="36">
        <f t="shared" si="25"/>
        <v>4.965514103411018</v>
      </c>
      <c r="M50" s="35"/>
      <c r="N50" s="41"/>
      <c r="O50" s="42">
        <f t="shared" si="19"/>
        <v>53485.4</v>
      </c>
      <c r="P50" s="36">
        <f t="shared" si="26"/>
        <v>4.132761727118705</v>
      </c>
      <c r="Q50" s="18"/>
    </row>
    <row r="51" spans="1:17" ht="15">
      <c r="A51" s="20"/>
      <c r="B51" s="28" t="s">
        <v>47</v>
      </c>
      <c r="C51" s="35">
        <v>0</v>
      </c>
      <c r="D51" s="36">
        <f t="shared" si="21"/>
        <v>0</v>
      </c>
      <c r="E51" s="35">
        <f>1.25*39.2</f>
        <v>49</v>
      </c>
      <c r="F51" s="36">
        <f t="shared" si="22"/>
        <v>0.05675500370644922</v>
      </c>
      <c r="G51" s="35">
        <f>1.25*818.4</f>
        <v>1023</v>
      </c>
      <c r="H51" s="36">
        <f t="shared" si="23"/>
        <v>1.161110625580981</v>
      </c>
      <c r="I51" s="35">
        <f>1.25*8485.68</f>
        <v>10607.1</v>
      </c>
      <c r="J51" s="36">
        <f t="shared" si="24"/>
        <v>9.780144750678735</v>
      </c>
      <c r="K51" s="35">
        <f>1.25*20201.04</f>
        <v>25251.300000000003</v>
      </c>
      <c r="L51" s="36">
        <f t="shared" si="25"/>
        <v>8.448145526786687</v>
      </c>
      <c r="M51" s="35"/>
      <c r="N51" s="41"/>
      <c r="O51" s="42">
        <f t="shared" si="19"/>
        <v>36930.4</v>
      </c>
      <c r="P51" s="36">
        <f t="shared" si="26"/>
        <v>2.853573941434197</v>
      </c>
      <c r="Q51" s="18"/>
    </row>
    <row r="52" spans="1:17" ht="15">
      <c r="A52" s="20"/>
      <c r="B52" s="28" t="s">
        <v>48</v>
      </c>
      <c r="C52" s="35">
        <v>85</v>
      </c>
      <c r="D52" s="36">
        <f t="shared" si="21"/>
        <v>0.08580406993940214</v>
      </c>
      <c r="E52" s="35">
        <v>90</v>
      </c>
      <c r="F52" s="36">
        <f t="shared" si="22"/>
        <v>0.10424388435878428</v>
      </c>
      <c r="G52" s="35">
        <v>24</v>
      </c>
      <c r="H52" s="36">
        <f t="shared" si="23"/>
        <v>0.027240131978439438</v>
      </c>
      <c r="I52" s="35">
        <v>41</v>
      </c>
      <c r="J52" s="36">
        <f t="shared" si="24"/>
        <v>0.037803540532080224</v>
      </c>
      <c r="K52" s="35">
        <v>1312</v>
      </c>
      <c r="L52" s="36">
        <f t="shared" si="25"/>
        <v>0.4389463881520608</v>
      </c>
      <c r="M52" s="35"/>
      <c r="N52" s="41"/>
      <c r="O52" s="42">
        <f t="shared" si="19"/>
        <v>2759</v>
      </c>
      <c r="P52" s="36">
        <f t="shared" si="26"/>
        <v>0.2131850861192121</v>
      </c>
      <c r="Q52" s="18"/>
    </row>
    <row r="53" spans="1:17" ht="15">
      <c r="A53" s="20"/>
      <c r="B53" s="28" t="s">
        <v>60</v>
      </c>
      <c r="C53" s="35">
        <f>1.25*3358.56</f>
        <v>4198.2</v>
      </c>
      <c r="D53" s="36">
        <f t="shared" si="21"/>
        <v>4.237913487289388</v>
      </c>
      <c r="E53" s="35">
        <f>1.25*1443.2</f>
        <v>1804</v>
      </c>
      <c r="F53" s="36">
        <f t="shared" si="22"/>
        <v>2.0895107487027427</v>
      </c>
      <c r="G53" s="35">
        <f>1.25*2144.8</f>
        <v>2681</v>
      </c>
      <c r="H53" s="36">
        <f t="shared" si="23"/>
        <v>3.042949743091506</v>
      </c>
      <c r="I53" s="35">
        <f>1.25*2432.8</f>
        <v>3041</v>
      </c>
      <c r="J53" s="36">
        <f t="shared" si="24"/>
        <v>2.8039162623916085</v>
      </c>
      <c r="K53" s="35">
        <f>1.25*6189.2</f>
        <v>7736.5</v>
      </c>
      <c r="L53" s="36">
        <f t="shared" si="25"/>
        <v>2.5883450700750137</v>
      </c>
      <c r="M53" s="35"/>
      <c r="N53" s="41"/>
      <c r="O53" s="42">
        <f t="shared" si="19"/>
        <v>38196.9</v>
      </c>
      <c r="P53" s="36">
        <f t="shared" si="26"/>
        <v>2.9514350909702545</v>
      </c>
      <c r="Q53" s="18"/>
    </row>
    <row r="54" spans="1:17" ht="15">
      <c r="A54" s="20"/>
      <c r="B54" s="28" t="s">
        <v>49</v>
      </c>
      <c r="C54" s="35">
        <f>1.25*4838.8</f>
        <v>6048.5</v>
      </c>
      <c r="D54" s="36">
        <f t="shared" si="21"/>
        <v>6.105716670923221</v>
      </c>
      <c r="E54" s="35">
        <f>1.25*2686.4</f>
        <v>3358</v>
      </c>
      <c r="F54" s="36">
        <f t="shared" si="22"/>
        <v>3.889455151964418</v>
      </c>
      <c r="G54" s="35">
        <f>1.25*3731.2</f>
        <v>4664</v>
      </c>
      <c r="H54" s="36">
        <f t="shared" si="23"/>
        <v>5.293665647810064</v>
      </c>
      <c r="I54" s="35">
        <f>1.25*3480</f>
        <v>4350</v>
      </c>
      <c r="J54" s="36">
        <f t="shared" si="24"/>
        <v>4.010863446696316</v>
      </c>
      <c r="K54" s="35">
        <f>1.25*10213.6</f>
        <v>12767</v>
      </c>
      <c r="L54" s="36">
        <f t="shared" si="25"/>
        <v>4.271363214586403</v>
      </c>
      <c r="M54" s="35"/>
      <c r="N54" s="41"/>
      <c r="O54" s="42">
        <f t="shared" si="19"/>
        <v>61834.95</v>
      </c>
      <c r="P54" s="36">
        <f t="shared" si="26"/>
        <v>4.777922849194336</v>
      </c>
      <c r="Q54" s="18"/>
    </row>
    <row r="55" spans="1:17" ht="15.75" thickBot="1">
      <c r="A55" s="20"/>
      <c r="B55" s="28" t="s">
        <v>50</v>
      </c>
      <c r="C55" s="35">
        <f>1.25*72.6</f>
        <v>90.75</v>
      </c>
      <c r="D55" s="36">
        <f t="shared" si="21"/>
        <v>0.0916084629058911</v>
      </c>
      <c r="E55" s="35">
        <f>1.25*43.6</f>
        <v>54.5</v>
      </c>
      <c r="F55" s="36">
        <f t="shared" si="22"/>
        <v>0.06312546330615271</v>
      </c>
      <c r="G55" s="35">
        <f>1.25*50.4</f>
        <v>63</v>
      </c>
      <c r="H55" s="36">
        <f t="shared" si="23"/>
        <v>0.07150534644340353</v>
      </c>
      <c r="I55" s="35">
        <f>1.25*71.6</f>
        <v>89.5</v>
      </c>
      <c r="J55" s="36">
        <f t="shared" si="24"/>
        <v>0.08252236286880926</v>
      </c>
      <c r="K55" s="35">
        <f>1.25*612.4</f>
        <v>765.5</v>
      </c>
      <c r="L55" s="36">
        <f t="shared" si="25"/>
        <v>0.2561078202213434</v>
      </c>
      <c r="M55" s="35"/>
      <c r="N55" s="41"/>
      <c r="O55" s="42">
        <f t="shared" si="19"/>
        <v>1490</v>
      </c>
      <c r="P55" s="36">
        <f t="shared" si="26"/>
        <v>0.11513076416006743</v>
      </c>
      <c r="Q55" s="18"/>
    </row>
    <row r="56" spans="1:17" ht="16.5" thickBot="1" thickTop="1">
      <c r="A56" s="20"/>
      <c r="B56" s="27" t="s">
        <v>9</v>
      </c>
      <c r="C56" s="33">
        <f>SUM(C35:C55)</f>
        <v>99041.65</v>
      </c>
      <c r="D56" s="34"/>
      <c r="E56" s="33">
        <f>SUM(E35:E55)</f>
        <v>86313.5</v>
      </c>
      <c r="F56" s="34"/>
      <c r="G56" s="33">
        <f>SUM(G35:G55)</f>
        <v>88099.29999999999</v>
      </c>
      <c r="H56" s="34"/>
      <c r="I56" s="33">
        <f>SUM(I35:I55)</f>
        <v>108445.2</v>
      </c>
      <c r="J56" s="34"/>
      <c r="K56" s="33">
        <f>SUM(K35:K55)</f>
        <v>298569.55</v>
      </c>
      <c r="L56" s="34"/>
      <c r="M56" s="33">
        <f>SUM(M35:M55)</f>
        <v>0</v>
      </c>
      <c r="N56" s="5"/>
      <c r="O56" s="38">
        <f>SUM(O35:O55)</f>
        <v>1293490.8375</v>
      </c>
      <c r="P56" s="34"/>
      <c r="Q56" s="18"/>
    </row>
    <row r="57" spans="1:17" ht="16.5" thickBot="1" thickTop="1">
      <c r="A57" s="20"/>
      <c r="B57" s="27" t="s">
        <v>10</v>
      </c>
      <c r="C57" s="33">
        <f>C56*0.8+C52*0.2</f>
        <v>79250.32</v>
      </c>
      <c r="D57" s="34"/>
      <c r="E57" s="33">
        <f>E56*0.8+E52*0.2</f>
        <v>69068.8</v>
      </c>
      <c r="F57" s="34"/>
      <c r="G57" s="33">
        <f>G56*0.8+G52*0.2</f>
        <v>70484.23999999999</v>
      </c>
      <c r="H57" s="34"/>
      <c r="I57" s="33">
        <f>I56*0.8+I52*0.2</f>
        <v>86764.36</v>
      </c>
      <c r="J57" s="34"/>
      <c r="K57" s="33">
        <f>K56*0.8+K52*0.2</f>
        <v>239118.04</v>
      </c>
      <c r="L57" s="34"/>
      <c r="M57" s="33">
        <f>M56*0.8+M46*0.2</f>
        <v>0</v>
      </c>
      <c r="N57" s="5"/>
      <c r="O57" s="38">
        <f>O56*0.8+O52*0.2</f>
        <v>1035344.47</v>
      </c>
      <c r="P57" s="34"/>
      <c r="Q57" s="18"/>
    </row>
    <row r="58" spans="1:17" ht="16.5" thickBot="1" thickTop="1">
      <c r="A58" s="20"/>
      <c r="B58" s="29"/>
      <c r="C58" s="37"/>
      <c r="D58" s="5"/>
      <c r="E58" s="37"/>
      <c r="F58" s="5"/>
      <c r="G58" s="37"/>
      <c r="H58" s="5"/>
      <c r="I58" s="37"/>
      <c r="J58" s="5"/>
      <c r="K58" s="37"/>
      <c r="L58" s="5"/>
      <c r="M58" s="37"/>
      <c r="N58" s="5"/>
      <c r="O58" s="37"/>
      <c r="P58" s="5"/>
      <c r="Q58" s="20"/>
    </row>
    <row r="59" spans="1:17" ht="16.5" thickBot="1" thickTop="1">
      <c r="A59" s="20"/>
      <c r="B59" s="27" t="s">
        <v>11</v>
      </c>
      <c r="C59" s="38"/>
      <c r="D59" s="5">
        <v>27</v>
      </c>
      <c r="E59" s="38"/>
      <c r="F59" s="5">
        <v>26</v>
      </c>
      <c r="G59" s="38"/>
      <c r="H59" s="5">
        <v>26</v>
      </c>
      <c r="I59" s="38"/>
      <c r="J59" s="5">
        <v>26</v>
      </c>
      <c r="K59" s="38"/>
      <c r="L59" s="5">
        <v>24</v>
      </c>
      <c r="M59" s="38"/>
      <c r="N59" s="5"/>
      <c r="O59" s="38"/>
      <c r="P59" s="5">
        <f>SUM(A28:P28)+SUM(A59:N59)</f>
        <v>304</v>
      </c>
      <c r="Q59" s="18"/>
    </row>
    <row r="60" spans="1:17" ht="16.5" thickBot="1" thickTop="1">
      <c r="A60" s="20"/>
      <c r="B60" s="27" t="s">
        <v>12</v>
      </c>
      <c r="C60" s="38">
        <f>C56/D59</f>
        <v>3668.209259259259</v>
      </c>
      <c r="D60" s="37"/>
      <c r="E60" s="38">
        <f>E56/F59</f>
        <v>3319.75</v>
      </c>
      <c r="F60" s="37"/>
      <c r="G60" s="38">
        <f>G56/H59</f>
        <v>3388.434615384615</v>
      </c>
      <c r="H60" s="37"/>
      <c r="I60" s="38">
        <f>I56/J59</f>
        <v>4170.96923076923</v>
      </c>
      <c r="J60" s="37"/>
      <c r="K60" s="38">
        <f>K56/L59</f>
        <v>12440.397916666667</v>
      </c>
      <c r="L60" s="37"/>
      <c r="M60" s="38"/>
      <c r="N60" s="37"/>
      <c r="O60" s="38">
        <f>O56/P59</f>
        <v>4254.904070723684</v>
      </c>
      <c r="P60" s="37"/>
      <c r="Q60" s="19"/>
    </row>
    <row r="61" spans="1:17" ht="16.5" thickBot="1" thickTop="1">
      <c r="A61" s="20"/>
      <c r="B61" s="2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"/>
      <c r="Q61" s="20"/>
    </row>
    <row r="62" spans="1:17" ht="16.5" thickBot="1" thickTop="1">
      <c r="A62" s="20"/>
      <c r="B62" s="27" t="s">
        <v>62</v>
      </c>
      <c r="C62" s="38">
        <v>3593</v>
      </c>
      <c r="D62" s="37"/>
      <c r="E62" s="38">
        <v>2646</v>
      </c>
      <c r="F62" s="37"/>
      <c r="G62" s="38">
        <v>3141</v>
      </c>
      <c r="H62" s="37"/>
      <c r="I62" s="38">
        <v>4752</v>
      </c>
      <c r="J62" s="37"/>
      <c r="K62" s="38">
        <v>11815</v>
      </c>
      <c r="L62" s="37"/>
      <c r="M62" s="38"/>
      <c r="N62" s="37"/>
      <c r="O62" s="38">
        <v>4001</v>
      </c>
      <c r="P62" s="37"/>
      <c r="Q62" s="19"/>
    </row>
    <row r="63" spans="1:17" ht="16.5" thickBot="1" thickTop="1">
      <c r="A63" s="20"/>
      <c r="B63" s="27" t="s">
        <v>58</v>
      </c>
      <c r="C63" s="38">
        <v>3019</v>
      </c>
      <c r="D63" s="37"/>
      <c r="E63" s="38">
        <v>2447</v>
      </c>
      <c r="F63" s="37"/>
      <c r="G63" s="38">
        <v>3027</v>
      </c>
      <c r="H63" s="37"/>
      <c r="I63" s="38">
        <v>4650</v>
      </c>
      <c r="J63" s="37"/>
      <c r="K63" s="38">
        <v>10917</v>
      </c>
      <c r="L63" s="37"/>
      <c r="M63" s="38"/>
      <c r="N63" s="37"/>
      <c r="O63" s="38">
        <v>3775</v>
      </c>
      <c r="P63" s="37"/>
      <c r="Q63" s="19"/>
    </row>
    <row r="64" spans="1:17" ht="15.75" thickTop="1">
      <c r="A64" s="20"/>
      <c r="B64" s="29"/>
      <c r="C64" s="37"/>
      <c r="D64" s="5"/>
      <c r="E64" s="37"/>
      <c r="F64" s="5"/>
      <c r="G64" s="37"/>
      <c r="H64" s="5"/>
      <c r="I64" s="37"/>
      <c r="J64" s="5"/>
      <c r="K64" s="37"/>
      <c r="L64" s="5"/>
      <c r="M64" s="37"/>
      <c r="N64" s="5"/>
      <c r="O64" s="37"/>
      <c r="P64" s="5"/>
      <c r="Q64" s="20"/>
    </row>
    <row r="65" spans="1:17" ht="15">
      <c r="A65" s="20"/>
      <c r="B65" s="26"/>
      <c r="C65" s="39"/>
      <c r="D65" s="32"/>
      <c r="E65" s="39"/>
      <c r="F65" s="32"/>
      <c r="G65" s="39"/>
      <c r="H65" s="32"/>
      <c r="I65" s="39"/>
      <c r="J65" s="39" t="s">
        <v>20</v>
      </c>
      <c r="K65" s="39"/>
      <c r="L65" s="32" t="s">
        <v>61</v>
      </c>
      <c r="M65" s="39" t="s">
        <v>21</v>
      </c>
      <c r="N65" s="32"/>
      <c r="O65" s="39">
        <v>1216423</v>
      </c>
      <c r="P65" s="32"/>
      <c r="Q65" s="20"/>
    </row>
    <row r="66" spans="1:17" ht="15">
      <c r="A66" s="20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59</v>
      </c>
      <c r="M66" s="39" t="s">
        <v>21</v>
      </c>
      <c r="N66" s="32"/>
      <c r="O66" s="39">
        <v>1139933</v>
      </c>
      <c r="P66" s="32"/>
      <c r="Q66" s="20"/>
    </row>
    <row r="67" spans="1:17" ht="15">
      <c r="A67" s="20"/>
      <c r="B67" s="26"/>
      <c r="C67" s="39"/>
      <c r="D67" s="32"/>
      <c r="E67" s="39"/>
      <c r="F67" s="32"/>
      <c r="G67" s="39"/>
      <c r="H67" s="32"/>
      <c r="I67" s="39"/>
      <c r="J67" s="32"/>
      <c r="K67" s="39"/>
      <c r="L67" s="32"/>
      <c r="M67" s="39"/>
      <c r="N67" s="32"/>
      <c r="O67" s="39"/>
      <c r="P67" s="32"/>
      <c r="Q67" s="20"/>
    </row>
    <row r="68" spans="1:17" ht="15">
      <c r="A68" s="20"/>
      <c r="B68" s="26"/>
      <c r="C68" s="39"/>
      <c r="D68" s="39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5">
      <c r="A69" s="20"/>
      <c r="B69" s="26"/>
      <c r="C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5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1"/>
      <c r="D73" s="32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3:15" ht="15">
      <c r="C76" s="44"/>
      <c r="E76" s="44"/>
      <c r="G76" s="44"/>
      <c r="I76" s="44"/>
      <c r="K76" s="44"/>
      <c r="M76" s="44"/>
      <c r="O76" s="44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3" ht="15">
      <c r="C93" s="44"/>
      <c r="E93" s="45"/>
      <c r="G93" s="44"/>
      <c r="I93" s="44"/>
      <c r="K93" s="44"/>
      <c r="M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5"/>
      <c r="E104" s="45"/>
      <c r="G104" s="44"/>
      <c r="I104" s="44"/>
      <c r="K104" s="44"/>
      <c r="M104" s="44"/>
    </row>
    <row r="105" spans="3:13" ht="15">
      <c r="C105" s="44"/>
      <c r="E105" s="44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5" ht="15">
      <c r="C192" s="45"/>
      <c r="E192" s="45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ht="15">
      <c r="C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.4375" style="0" customWidth="1"/>
    <col min="2" max="2" width="14.77734375" style="30" customWidth="1"/>
    <col min="3" max="3" width="6.4453125" style="43" customWidth="1"/>
    <col min="4" max="4" width="4.3359375" style="43" customWidth="1"/>
    <col min="5" max="5" width="6.4453125" style="43" customWidth="1"/>
    <col min="6" max="6" width="4.3359375" style="43" customWidth="1"/>
    <col min="7" max="7" width="6.4453125" style="43" customWidth="1"/>
    <col min="8" max="8" width="4.3359375" style="43" customWidth="1"/>
    <col min="9" max="9" width="6.4453125" style="43" customWidth="1"/>
    <col min="10" max="10" width="4.3359375" style="43" customWidth="1"/>
    <col min="11" max="11" width="6.4453125" style="43" customWidth="1"/>
    <col min="12" max="12" width="4.3359375" style="43" customWidth="1"/>
    <col min="13" max="13" width="6.4453125" style="43" customWidth="1"/>
    <col min="14" max="14" width="4.3359375" style="43" customWidth="1"/>
    <col min="15" max="15" width="6.99609375" style="43" customWidth="1"/>
    <col min="16" max="16" width="4.3359375" style="43" customWidth="1"/>
    <col min="17" max="17" width="0.9921875" style="0" customWidth="1"/>
  </cols>
  <sheetData>
    <row r="1" spans="1:17" ht="12.75" customHeight="1">
      <c r="A1" s="20"/>
      <c r="B1" s="26"/>
      <c r="C1" s="31"/>
      <c r="D1" s="32"/>
      <c r="E1" s="31"/>
      <c r="F1" s="51" t="s">
        <v>57</v>
      </c>
      <c r="G1" s="31"/>
      <c r="H1" s="32"/>
      <c r="I1" s="31"/>
      <c r="J1" s="32"/>
      <c r="K1" s="31"/>
      <c r="L1" s="32"/>
      <c r="M1" s="31"/>
      <c r="N1" s="32"/>
      <c r="O1" s="32"/>
      <c r="P1" s="32"/>
      <c r="Q1" s="20"/>
    </row>
    <row r="2" spans="1:17" ht="12.75" customHeight="1" thickBot="1">
      <c r="A2" s="20"/>
      <c r="B2" s="26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2"/>
      <c r="P2" s="32"/>
      <c r="Q2" s="20"/>
    </row>
    <row r="3" spans="1:17" ht="12.75" customHeight="1" thickBot="1" thickTop="1">
      <c r="A3" s="20"/>
      <c r="B3" s="27" t="s">
        <v>30</v>
      </c>
      <c r="C3" s="46" t="s">
        <v>1</v>
      </c>
      <c r="D3" s="47" t="s">
        <v>2</v>
      </c>
      <c r="E3" s="46" t="s">
        <v>3</v>
      </c>
      <c r="F3" s="47" t="s">
        <v>2</v>
      </c>
      <c r="G3" s="46" t="s">
        <v>4</v>
      </c>
      <c r="H3" s="47" t="s">
        <v>2</v>
      </c>
      <c r="I3" s="46" t="s">
        <v>5</v>
      </c>
      <c r="J3" s="47" t="s">
        <v>2</v>
      </c>
      <c r="K3" s="46" t="s">
        <v>6</v>
      </c>
      <c r="L3" s="47" t="s">
        <v>2</v>
      </c>
      <c r="M3" s="46" t="s">
        <v>7</v>
      </c>
      <c r="N3" s="47" t="s">
        <v>2</v>
      </c>
      <c r="O3" s="48" t="s">
        <v>8</v>
      </c>
      <c r="P3" s="47" t="s">
        <v>2</v>
      </c>
      <c r="Q3" s="18"/>
    </row>
    <row r="4" spans="1:17" ht="12.75" customHeight="1" thickTop="1">
      <c r="A4" s="20"/>
      <c r="B4" s="27" t="s">
        <v>31</v>
      </c>
      <c r="C4" s="33">
        <f>2422.56*1.25</f>
        <v>3028.2</v>
      </c>
      <c r="D4" s="34">
        <f aca="true" t="shared" si="0" ref="D4:D14">80*C4/C$26</f>
        <v>5.191249687675583</v>
      </c>
      <c r="E4" s="33">
        <f>3134.56*1.25</f>
        <v>3918.2</v>
      </c>
      <c r="F4" s="34">
        <f aca="true" t="shared" si="1" ref="F4:F14">80*E4/E$26</f>
        <v>5.719350832806932</v>
      </c>
      <c r="G4" s="33">
        <f>3888.32*1.25</f>
        <v>4860.400000000001</v>
      </c>
      <c r="H4" s="34">
        <f aca="true" t="shared" si="2" ref="H4:H14">80*G4/G$26</f>
        <v>6.864385176125487</v>
      </c>
      <c r="I4" s="33">
        <f>3567.04*1.25</f>
        <v>4458.8</v>
      </c>
      <c r="J4" s="34">
        <f aca="true" t="shared" si="3" ref="J4:J14">80*I4/I$26</f>
        <v>5.748813665745448</v>
      </c>
      <c r="K4" s="33">
        <f>4372*1.25</f>
        <v>5465</v>
      </c>
      <c r="L4" s="34">
        <f aca="true" t="shared" si="4" ref="L4:L14">80*K4/K$26</f>
        <v>6.346782259785469</v>
      </c>
      <c r="M4" s="33">
        <f>4397.6*1.25</f>
        <v>5497</v>
      </c>
      <c r="N4" s="34">
        <f aca="true" t="shared" si="5" ref="N4:N14">80*M4/M$26</f>
        <v>6.106261389532711</v>
      </c>
      <c r="O4" s="33">
        <f>5465.6*1.25</f>
        <v>6832</v>
      </c>
      <c r="P4" s="34">
        <f aca="true" t="shared" si="6" ref="P4:P14">80*O4/O$26</f>
        <v>6.558336993119602</v>
      </c>
      <c r="Q4" s="18"/>
    </row>
    <row r="5" spans="1:17" ht="12.75" customHeight="1">
      <c r="A5" s="20"/>
      <c r="B5" s="28" t="s">
        <v>32</v>
      </c>
      <c r="C5" s="35">
        <f>4152*1.25</f>
        <v>5190</v>
      </c>
      <c r="D5" s="36">
        <f t="shared" si="0"/>
        <v>8.8972280163253</v>
      </c>
      <c r="E5" s="35">
        <f>4507.2*1.25</f>
        <v>5634</v>
      </c>
      <c r="F5" s="36">
        <f t="shared" si="1"/>
        <v>8.223884077391215</v>
      </c>
      <c r="G5" s="35">
        <f>2683.2*1.25</f>
        <v>3354</v>
      </c>
      <c r="H5" s="36">
        <f t="shared" si="2"/>
        <v>4.7368833595434285</v>
      </c>
      <c r="I5" s="35">
        <f>4095.2*1.25</f>
        <v>5119</v>
      </c>
      <c r="J5" s="36">
        <f t="shared" si="3"/>
        <v>6.600021789483931</v>
      </c>
      <c r="K5" s="35">
        <f>3626.8*1.25</f>
        <v>4533.5</v>
      </c>
      <c r="L5" s="36">
        <f t="shared" si="4"/>
        <v>5.26498396610017</v>
      </c>
      <c r="M5" s="35">
        <f>3680.08*1.25</f>
        <v>4600.1</v>
      </c>
      <c r="N5" s="36">
        <f t="shared" si="5"/>
        <v>5.109953250498349</v>
      </c>
      <c r="O5" s="35">
        <f>8538.8*1.25</f>
        <v>10673.5</v>
      </c>
      <c r="P5" s="36">
        <f t="shared" si="6"/>
        <v>10.245961635840468</v>
      </c>
      <c r="Q5" s="18"/>
    </row>
    <row r="6" spans="1:17" ht="12.75" customHeight="1">
      <c r="A6" s="20"/>
      <c r="B6" s="28" t="s">
        <v>33</v>
      </c>
      <c r="C6" s="35">
        <f>3086.96*1.25</f>
        <v>3858.7</v>
      </c>
      <c r="D6" s="36">
        <f t="shared" si="0"/>
        <v>6.614977600499891</v>
      </c>
      <c r="E6" s="35">
        <f>3409.6*1.25</f>
        <v>4262</v>
      </c>
      <c r="F6" s="36">
        <f t="shared" si="1"/>
        <v>6.221191682257961</v>
      </c>
      <c r="G6" s="35">
        <f>2870.96*1.25</f>
        <v>3588.7</v>
      </c>
      <c r="H6" s="36">
        <f t="shared" si="2"/>
        <v>5.068352210015951</v>
      </c>
      <c r="I6" s="35">
        <f>4632.4*1.25</f>
        <v>5790.5</v>
      </c>
      <c r="J6" s="36">
        <f t="shared" si="3"/>
        <v>7.465799213128872</v>
      </c>
      <c r="K6" s="35">
        <f>2522.4*1.25</f>
        <v>3153</v>
      </c>
      <c r="L6" s="36">
        <f t="shared" si="4"/>
        <v>3.661739151894526</v>
      </c>
      <c r="M6" s="35">
        <f>4438.48*1.25</f>
        <v>5548.099999999999</v>
      </c>
      <c r="N6" s="36">
        <f t="shared" si="5"/>
        <v>6.163025070996258</v>
      </c>
      <c r="O6" s="35">
        <f>3695.28*1.25</f>
        <v>4619.1</v>
      </c>
      <c r="P6" s="36">
        <f t="shared" si="6"/>
        <v>4.434077049900286</v>
      </c>
      <c r="Q6" s="18"/>
    </row>
    <row r="7" spans="1:17" ht="12.75" customHeight="1">
      <c r="A7" s="20"/>
      <c r="B7" s="28" t="s">
        <v>34</v>
      </c>
      <c r="C7" s="35">
        <f>4587.36*1.25</f>
        <v>5734.2</v>
      </c>
      <c r="D7" s="36">
        <f t="shared" si="0"/>
        <v>9.830151231447502</v>
      </c>
      <c r="E7" s="35">
        <f>5562.88*1.25</f>
        <v>6953.6</v>
      </c>
      <c r="F7" s="36">
        <f t="shared" si="1"/>
        <v>10.150088803789057</v>
      </c>
      <c r="G7" s="35">
        <f>4211.28*1.25</f>
        <v>5264.099999999999</v>
      </c>
      <c r="H7" s="36">
        <f t="shared" si="2"/>
        <v>7.434534195877328</v>
      </c>
      <c r="I7" s="35">
        <f>2252.96*1.25</f>
        <v>2816.2</v>
      </c>
      <c r="J7" s="36">
        <f t="shared" si="3"/>
        <v>3.6309789731480064</v>
      </c>
      <c r="K7" s="35">
        <f>3143.2*1.25</f>
        <v>3929</v>
      </c>
      <c r="L7" s="36">
        <f t="shared" si="4"/>
        <v>4.562947392259306</v>
      </c>
      <c r="M7" s="35">
        <f>3216.88*1.25</f>
        <v>4021.1000000000004</v>
      </c>
      <c r="N7" s="36">
        <f t="shared" si="5"/>
        <v>4.466779638611968</v>
      </c>
      <c r="O7" s="35">
        <f>5694.8*1.25</f>
        <v>7118.5</v>
      </c>
      <c r="P7" s="36">
        <f t="shared" si="6"/>
        <v>6.833360931721588</v>
      </c>
      <c r="Q7" s="18"/>
    </row>
    <row r="8" spans="1:17" ht="12.75" customHeight="1">
      <c r="A8" s="20"/>
      <c r="B8" s="28" t="s">
        <v>35</v>
      </c>
      <c r="C8" s="35">
        <f>2940*1.25</f>
        <v>3675</v>
      </c>
      <c r="D8" s="36">
        <f t="shared" si="0"/>
        <v>6.300060300577163</v>
      </c>
      <c r="E8" s="35">
        <f>2848*1.25</f>
        <v>3560</v>
      </c>
      <c r="F8" s="36">
        <f t="shared" si="1"/>
        <v>5.196490471337012</v>
      </c>
      <c r="G8" s="35">
        <f>3652.4*1.25</f>
        <v>4565.5</v>
      </c>
      <c r="H8" s="36">
        <f t="shared" si="2"/>
        <v>6.447895342276542</v>
      </c>
      <c r="I8" s="35">
        <f>4364.88*1.25</f>
        <v>5456.1</v>
      </c>
      <c r="J8" s="36">
        <f t="shared" si="3"/>
        <v>7.034651081383722</v>
      </c>
      <c r="K8" s="35">
        <f>3464.88*1.25</f>
        <v>4331.1</v>
      </c>
      <c r="L8" s="36">
        <f t="shared" si="4"/>
        <v>5.02992655907719</v>
      </c>
      <c r="M8" s="35">
        <f>3695.6*1.25</f>
        <v>4619.5</v>
      </c>
      <c r="N8" s="36">
        <f t="shared" si="5"/>
        <v>5.1315034544199305</v>
      </c>
      <c r="O8" s="35">
        <f>4189.6*1.25</f>
        <v>5237</v>
      </c>
      <c r="P8" s="36">
        <f t="shared" si="6"/>
        <v>5.027226409977658</v>
      </c>
      <c r="Q8" s="18"/>
    </row>
    <row r="9" spans="1:17" ht="12.75" customHeight="1">
      <c r="A9" s="20"/>
      <c r="B9" s="28" t="s">
        <v>51</v>
      </c>
      <c r="C9" s="35">
        <f>348*1.25</f>
        <v>435</v>
      </c>
      <c r="D9" s="36">
        <f t="shared" si="0"/>
        <v>0.7457214233336235</v>
      </c>
      <c r="E9" s="35">
        <f>892*1.25</f>
        <v>1115</v>
      </c>
      <c r="F9" s="36">
        <f t="shared" si="1"/>
        <v>1.6275524931294292</v>
      </c>
      <c r="G9" s="35">
        <f>348*1.25</f>
        <v>435</v>
      </c>
      <c r="H9" s="36">
        <f t="shared" si="2"/>
        <v>0.614354281872806</v>
      </c>
      <c r="I9" s="35">
        <f>2268.8*1.25</f>
        <v>2836</v>
      </c>
      <c r="J9" s="36">
        <f t="shared" si="3"/>
        <v>3.656507480948706</v>
      </c>
      <c r="K9" s="35">
        <f>948.8*1.25</f>
        <v>1186</v>
      </c>
      <c r="L9" s="36">
        <f t="shared" si="4"/>
        <v>1.377362078701842</v>
      </c>
      <c r="M9" s="35">
        <f>1320*1.25</f>
        <v>1650</v>
      </c>
      <c r="N9" s="36">
        <f t="shared" si="5"/>
        <v>1.8328781685881341</v>
      </c>
      <c r="O9" s="35">
        <f>899.2*1.25</f>
        <v>1124</v>
      </c>
      <c r="P9" s="36">
        <f t="shared" si="6"/>
        <v>1.0789769877439157</v>
      </c>
      <c r="Q9" s="18"/>
    </row>
    <row r="10" spans="1:17" ht="12.75" customHeight="1">
      <c r="A10" s="20"/>
      <c r="B10" s="28" t="s">
        <v>37</v>
      </c>
      <c r="C10" s="35">
        <v>450</v>
      </c>
      <c r="D10" s="36">
        <f t="shared" si="0"/>
        <v>0.7714359551727139</v>
      </c>
      <c r="E10" s="35">
        <f>1106.4*1.25</f>
        <v>1383</v>
      </c>
      <c r="F10" s="36">
        <f t="shared" si="1"/>
        <v>2.0187489668143503</v>
      </c>
      <c r="G10" s="35">
        <f>2671.36*1.25</f>
        <v>3339.2000000000003</v>
      </c>
      <c r="H10" s="36">
        <f t="shared" si="2"/>
        <v>4.715981190872814</v>
      </c>
      <c r="I10" s="35">
        <f>5946.4*1.25</f>
        <v>7433</v>
      </c>
      <c r="J10" s="36">
        <f t="shared" si="3"/>
        <v>9.583504973868735</v>
      </c>
      <c r="K10" s="35">
        <f>10228*1.25</f>
        <v>12785</v>
      </c>
      <c r="L10" s="36">
        <f t="shared" si="4"/>
        <v>14.84787030033984</v>
      </c>
      <c r="M10" s="35">
        <f>16004*1.25</f>
        <v>20005</v>
      </c>
      <c r="N10" s="36">
        <f t="shared" si="5"/>
        <v>22.222259250064013</v>
      </c>
      <c r="O10" s="35">
        <f>1.25*17140</f>
        <v>21425</v>
      </c>
      <c r="P10" s="36">
        <f t="shared" si="6"/>
        <v>20.566798898944302</v>
      </c>
      <c r="Q10" s="18"/>
    </row>
    <row r="11" spans="1:17" ht="12.75" customHeight="1">
      <c r="A11" s="20"/>
      <c r="B11" s="28" t="s">
        <v>38</v>
      </c>
      <c r="C11" s="35">
        <f>6242.48*1.25</f>
        <v>7803.099999999999</v>
      </c>
      <c r="D11" s="36">
        <f t="shared" si="0"/>
        <v>13.37687089290712</v>
      </c>
      <c r="E11" s="35">
        <f>7708*1.25</f>
        <v>9635</v>
      </c>
      <c r="F11" s="36">
        <f t="shared" si="1"/>
        <v>14.064097104306772</v>
      </c>
      <c r="G11" s="35">
        <f>8590.4*1.25</f>
        <v>10738</v>
      </c>
      <c r="H11" s="36">
        <f t="shared" si="2"/>
        <v>15.165370755747565</v>
      </c>
      <c r="I11" s="35">
        <f>8824.8*1.25</f>
        <v>11031</v>
      </c>
      <c r="J11" s="36">
        <f t="shared" si="3"/>
        <v>14.222473209571643</v>
      </c>
      <c r="K11" s="35">
        <f>10007.36*1.25</f>
        <v>12509.2</v>
      </c>
      <c r="L11" s="36">
        <f t="shared" si="4"/>
        <v>14.527569742746275</v>
      </c>
      <c r="M11" s="35">
        <f>6133.6*1.25</f>
        <v>7667</v>
      </c>
      <c r="N11" s="36">
        <f t="shared" si="5"/>
        <v>8.51677389003953</v>
      </c>
      <c r="O11" s="35">
        <f>9524*1.25</f>
        <v>11905</v>
      </c>
      <c r="P11" s="36">
        <f t="shared" si="6"/>
        <v>11.428132597056333</v>
      </c>
      <c r="Q11" s="18"/>
    </row>
    <row r="12" spans="1:17" ht="12.75" customHeight="1">
      <c r="A12" s="20"/>
      <c r="B12" s="28" t="s">
        <v>39</v>
      </c>
      <c r="C12" s="35">
        <f>3384.16*1.25-C13</f>
        <v>3218.2</v>
      </c>
      <c r="D12" s="36">
        <f t="shared" si="0"/>
        <v>5.516967090970729</v>
      </c>
      <c r="E12" s="35">
        <f>4786.48*1.25-E13</f>
        <v>4910.099999999999</v>
      </c>
      <c r="F12" s="36">
        <f t="shared" si="1"/>
        <v>7.167215691941533</v>
      </c>
      <c r="G12" s="35">
        <f>6536.48*1.25-G13</f>
        <v>6869.599999999999</v>
      </c>
      <c r="H12" s="36">
        <f t="shared" si="2"/>
        <v>9.70199580403087</v>
      </c>
      <c r="I12" s="35">
        <f>7076.4*1.25-I13</f>
        <v>6362.5</v>
      </c>
      <c r="J12" s="36">
        <f t="shared" si="3"/>
        <v>8.20328943848242</v>
      </c>
      <c r="K12" s="35">
        <f>8121.2*1.25-K13</f>
        <v>7010.5</v>
      </c>
      <c r="L12" s="36">
        <f t="shared" si="4"/>
        <v>8.141649960151149</v>
      </c>
      <c r="M12" s="35">
        <f>5105.68*1.25-M13</f>
        <v>4953.1</v>
      </c>
      <c r="N12" s="36">
        <f t="shared" si="5"/>
        <v>5.502078095050841</v>
      </c>
      <c r="O12" s="35">
        <f>6405.2*1.25-O13</f>
        <v>6377.5</v>
      </c>
      <c r="P12" s="36">
        <f t="shared" si="6"/>
        <v>6.122042472719594</v>
      </c>
      <c r="Q12" s="18"/>
    </row>
    <row r="13" spans="1:17" ht="12.75" customHeight="1">
      <c r="A13" s="20"/>
      <c r="B13" s="28" t="s">
        <v>40</v>
      </c>
      <c r="C13" s="35">
        <v>1012</v>
      </c>
      <c r="D13" s="36">
        <f t="shared" si="0"/>
        <v>1.7348737480773033</v>
      </c>
      <c r="E13" s="35">
        <v>1073</v>
      </c>
      <c r="F13" s="36">
        <f t="shared" si="1"/>
        <v>1.5662455830743296</v>
      </c>
      <c r="G13" s="35">
        <v>1301</v>
      </c>
      <c r="H13" s="36">
        <f t="shared" si="2"/>
        <v>1.8374136108425763</v>
      </c>
      <c r="I13" s="35">
        <v>2483</v>
      </c>
      <c r="J13" s="36">
        <f t="shared" si="3"/>
        <v>3.201378023693807</v>
      </c>
      <c r="K13" s="35">
        <v>3141</v>
      </c>
      <c r="L13" s="36">
        <f t="shared" si="4"/>
        <v>3.6478029419919777</v>
      </c>
      <c r="M13" s="35">
        <f>1143.2*1.25</f>
        <v>1429</v>
      </c>
      <c r="N13" s="36">
        <f t="shared" si="5"/>
        <v>1.5873835775226932</v>
      </c>
      <c r="O13" s="35">
        <v>1629</v>
      </c>
      <c r="P13" s="36">
        <f t="shared" si="6"/>
        <v>1.5637486770772588</v>
      </c>
      <c r="Q13" s="18"/>
    </row>
    <row r="14" spans="1:17" ht="12.75" customHeight="1">
      <c r="A14" s="20"/>
      <c r="B14" s="28" t="s">
        <v>41</v>
      </c>
      <c r="C14" s="35">
        <f>1.25*4891.44</f>
        <v>6114.299999999999</v>
      </c>
      <c r="D14" s="36">
        <f t="shared" si="0"/>
        <v>10.481757468250054</v>
      </c>
      <c r="E14" s="35">
        <f>7856.16*1.25</f>
        <v>9820.2</v>
      </c>
      <c r="F14" s="36">
        <f t="shared" si="1"/>
        <v>14.334431383883068</v>
      </c>
      <c r="G14" s="35">
        <f>1.25*4271.2</f>
        <v>5339</v>
      </c>
      <c r="H14" s="36">
        <f t="shared" si="2"/>
        <v>7.540316117054969</v>
      </c>
      <c r="I14" s="35">
        <f>4218.4*1.25</f>
        <v>5273</v>
      </c>
      <c r="J14" s="36">
        <f t="shared" si="3"/>
        <v>6.7985768501560395</v>
      </c>
      <c r="K14" s="35">
        <f>4511.2*1.25</f>
        <v>5639</v>
      </c>
      <c r="L14" s="36">
        <f t="shared" si="4"/>
        <v>6.548857303372418</v>
      </c>
      <c r="M14" s="35">
        <f>4967.2*1.25</f>
        <v>6209</v>
      </c>
      <c r="N14" s="36">
        <f t="shared" si="5"/>
        <v>6.897176090159833</v>
      </c>
      <c r="O14" s="35">
        <f>5159.76*1.25</f>
        <v>6449.700000000001</v>
      </c>
      <c r="P14" s="36">
        <f t="shared" si="6"/>
        <v>6.191350425135173</v>
      </c>
      <c r="Q14" s="18"/>
    </row>
    <row r="15" spans="1:17" ht="12.75" customHeight="1">
      <c r="A15" s="20"/>
      <c r="B15" s="28" t="s">
        <v>42</v>
      </c>
      <c r="C15" s="35">
        <f>1.25*1372.4</f>
        <v>1715.5</v>
      </c>
      <c r="D15" s="36">
        <f>100*C15/C$26</f>
        <v>3.6761066141633076</v>
      </c>
      <c r="E15" s="35">
        <f>1.25*1477.6</f>
        <v>1847</v>
      </c>
      <c r="F15" s="36">
        <f>100*E15/E$26</f>
        <v>3.3700554426121703</v>
      </c>
      <c r="G15" s="35">
        <f>1.25*2248.96</f>
        <v>2811.2</v>
      </c>
      <c r="H15" s="36">
        <f>100*G15/G$26</f>
        <v>4.962852750577104</v>
      </c>
      <c r="I15" s="35">
        <f>1787.2*1.25</f>
        <v>2234</v>
      </c>
      <c r="J15" s="36">
        <f>100*I15/I$26</f>
        <v>3.600422122901714</v>
      </c>
      <c r="K15" s="35">
        <f>1692.88*1.25</f>
        <v>2116.1000000000004</v>
      </c>
      <c r="L15" s="36">
        <f>100*K15/K$26</f>
        <v>3.0719181015398065</v>
      </c>
      <c r="M15" s="35">
        <f>2808.96*1.25</f>
        <v>3511.2</v>
      </c>
      <c r="N15" s="36">
        <f>100*M15/M$26</f>
        <v>4.8754559284444365</v>
      </c>
      <c r="O15" s="35">
        <f>3884.4*1.25</f>
        <v>4855.5</v>
      </c>
      <c r="P15" s="36">
        <f>100*O15/O$26</f>
        <v>5.826259746430809</v>
      </c>
      <c r="Q15" s="18"/>
    </row>
    <row r="16" spans="1:17" ht="12.75" customHeight="1">
      <c r="A16" s="20"/>
      <c r="B16" s="28" t="s">
        <v>43</v>
      </c>
      <c r="C16" s="35">
        <f>1.25*2628</f>
        <v>3285</v>
      </c>
      <c r="D16" s="36">
        <f aca="true" t="shared" si="7" ref="D16:D24">80*C16/C$26</f>
        <v>5.631482472760811</v>
      </c>
      <c r="E16" s="35">
        <f>1.25*1944</f>
        <v>2430</v>
      </c>
      <c r="F16" s="36">
        <f aca="true" t="shared" si="8" ref="F16:F24">80*E16/E$26</f>
        <v>3.547042653187904</v>
      </c>
      <c r="G16" s="35">
        <f>1.25*4186</f>
        <v>5232.5</v>
      </c>
      <c r="H16" s="36">
        <f aca="true" t="shared" si="9" ref="H16:H24">80*G16/G$26</f>
        <v>7.3899052411481785</v>
      </c>
      <c r="I16" s="35">
        <f>2874.4*1.25</f>
        <v>3593</v>
      </c>
      <c r="J16" s="36">
        <f aca="true" t="shared" si="10" ref="J16:J24">80*I16/I$26</f>
        <v>4.632521642823942</v>
      </c>
      <c r="K16" s="35">
        <f>1.25*3762.4</f>
        <v>4703</v>
      </c>
      <c r="L16" s="36">
        <f aca="true" t="shared" si="11" ref="L16:L24">80*K16/K$26</f>
        <v>5.461832930973662</v>
      </c>
      <c r="M16" s="35">
        <f>1.25*2597.6</f>
        <v>3247</v>
      </c>
      <c r="N16" s="36">
        <f aca="true" t="shared" si="12" ref="N16:N24">80*M16/M$26</f>
        <v>3.60688206873071</v>
      </c>
      <c r="O16" s="35">
        <f>1.25*2508</f>
        <v>3135</v>
      </c>
      <c r="P16" s="36">
        <f aca="true" t="shared" si="13" ref="P16:P24">80*O16/O$26</f>
        <v>3.009424249623822</v>
      </c>
      <c r="Q16" s="18"/>
    </row>
    <row r="17" spans="1:17" ht="12.75" customHeight="1">
      <c r="A17" s="20"/>
      <c r="B17" s="28" t="s">
        <v>44</v>
      </c>
      <c r="C17" s="35">
        <f>1.25*4533.6</f>
        <v>5667</v>
      </c>
      <c r="D17" s="36">
        <f t="shared" si="7"/>
        <v>9.714950128808377</v>
      </c>
      <c r="E17" s="35">
        <f>1.25*2142.4</f>
        <v>2678</v>
      </c>
      <c r="F17" s="36">
        <f t="shared" si="8"/>
        <v>3.9090453601799204</v>
      </c>
      <c r="G17" s="35">
        <f>1.25*3226</f>
        <v>4032.5</v>
      </c>
      <c r="H17" s="36">
        <f t="shared" si="9"/>
        <v>5.6951348083956095</v>
      </c>
      <c r="I17" s="35">
        <f>2518.4*1.25</f>
        <v>3148</v>
      </c>
      <c r="J17" s="36">
        <f t="shared" si="10"/>
        <v>4.058774876596096</v>
      </c>
      <c r="K17" s="35">
        <f>3831.2*1.25</f>
        <v>4789</v>
      </c>
      <c r="L17" s="36">
        <f t="shared" si="11"/>
        <v>5.561709101941924</v>
      </c>
      <c r="M17" s="35">
        <f>1.25*3250.8</f>
        <v>4063.5</v>
      </c>
      <c r="N17" s="36">
        <f t="shared" si="12"/>
        <v>4.513879053368414</v>
      </c>
      <c r="O17" s="35">
        <f>1792*1.25</f>
        <v>2240</v>
      </c>
      <c r="P17" s="36">
        <f t="shared" si="13"/>
        <v>2.15027442397364</v>
      </c>
      <c r="Q17" s="18"/>
    </row>
    <row r="18" spans="1:17" ht="12.75" customHeight="1">
      <c r="A18" s="20"/>
      <c r="B18" s="28" t="s">
        <v>45</v>
      </c>
      <c r="C18" s="35">
        <f>1.25*1356.16</f>
        <v>1695.2</v>
      </c>
      <c r="D18" s="36">
        <f t="shared" si="7"/>
        <v>2.9060849582417436</v>
      </c>
      <c r="E18" s="35">
        <f>1.25*1161.6</f>
        <v>1452</v>
      </c>
      <c r="F18" s="36">
        <f t="shared" si="8"/>
        <v>2.119467461904871</v>
      </c>
      <c r="G18" s="35">
        <f>1.25*601.44</f>
        <v>751.8000000000001</v>
      </c>
      <c r="H18" s="36">
        <f t="shared" si="9"/>
        <v>1.0617736761194843</v>
      </c>
      <c r="I18" s="35">
        <f>944*1.25</f>
        <v>1180</v>
      </c>
      <c r="J18" s="36">
        <f t="shared" si="10"/>
        <v>1.5213959194356392</v>
      </c>
      <c r="K18" s="35">
        <f>1012.8*1.25</f>
        <v>1266</v>
      </c>
      <c r="L18" s="36">
        <f t="shared" si="11"/>
        <v>1.4702701447188296</v>
      </c>
      <c r="M18" s="35">
        <f>2006.32*1.25</f>
        <v>2507.9</v>
      </c>
      <c r="N18" s="36">
        <f t="shared" si="12"/>
        <v>2.785863732728595</v>
      </c>
      <c r="O18" s="35">
        <f>1249.6*1.25</f>
        <v>1562</v>
      </c>
      <c r="P18" s="36">
        <f t="shared" si="13"/>
        <v>1.4994324331459044</v>
      </c>
      <c r="Q18" s="18"/>
    </row>
    <row r="19" spans="1:17" ht="12.75" customHeight="1">
      <c r="A19" s="20"/>
      <c r="B19" s="28" t="s">
        <v>46</v>
      </c>
      <c r="C19" s="35">
        <f>1.25*1861.92</f>
        <v>2327.4</v>
      </c>
      <c r="D19" s="36">
        <f t="shared" si="7"/>
        <v>3.9898667601532765</v>
      </c>
      <c r="E19" s="35">
        <f>1.25*2702.56</f>
        <v>3378.2</v>
      </c>
      <c r="F19" s="36">
        <f t="shared" si="8"/>
        <v>4.931119132098509</v>
      </c>
      <c r="G19" s="35">
        <f>1.25*2252.64</f>
        <v>2815.7999999999997</v>
      </c>
      <c r="H19" s="36">
        <f t="shared" si="9"/>
        <v>3.976778820453901</v>
      </c>
      <c r="I19" s="35">
        <f>3269.6*1.25</f>
        <v>4087</v>
      </c>
      <c r="J19" s="36">
        <f t="shared" si="10"/>
        <v>5.269445019265643</v>
      </c>
      <c r="K19" s="35">
        <f>2706.48*1.25</f>
        <v>3383.1</v>
      </c>
      <c r="L19" s="36">
        <f t="shared" si="11"/>
        <v>3.9289659767758867</v>
      </c>
      <c r="M19" s="35">
        <f>2526.8*1.25</f>
        <v>3158.5</v>
      </c>
      <c r="N19" s="36">
        <f t="shared" si="12"/>
        <v>3.5085731487791647</v>
      </c>
      <c r="O19" s="35">
        <f>1615.36*1.25</f>
        <v>2019.1999999999998</v>
      </c>
      <c r="P19" s="36">
        <f t="shared" si="13"/>
        <v>1.9383188021819526</v>
      </c>
      <c r="Q19" s="18"/>
    </row>
    <row r="20" spans="1:17" ht="12.75" customHeight="1">
      <c r="A20" s="20"/>
      <c r="B20" s="28" t="s">
        <v>47</v>
      </c>
      <c r="C20" s="35">
        <f>1.25*20</f>
        <v>25</v>
      </c>
      <c r="D20" s="36">
        <f t="shared" si="7"/>
        <v>0.04285755306515077</v>
      </c>
      <c r="E20" s="35">
        <v>0</v>
      </c>
      <c r="F20" s="36">
        <f t="shared" si="8"/>
        <v>0</v>
      </c>
      <c r="G20" s="35">
        <v>0</v>
      </c>
      <c r="H20" s="36">
        <f t="shared" si="9"/>
        <v>0</v>
      </c>
      <c r="I20" s="35">
        <v>0</v>
      </c>
      <c r="J20" s="36">
        <f t="shared" si="10"/>
        <v>0</v>
      </c>
      <c r="K20" s="35">
        <v>0</v>
      </c>
      <c r="L20" s="36">
        <f t="shared" si="11"/>
        <v>0</v>
      </c>
      <c r="M20" s="35">
        <v>0</v>
      </c>
      <c r="N20" s="36">
        <f t="shared" si="12"/>
        <v>0</v>
      </c>
      <c r="O20" s="35">
        <v>0</v>
      </c>
      <c r="P20" s="36">
        <f t="shared" si="13"/>
        <v>0</v>
      </c>
      <c r="Q20" s="18"/>
    </row>
    <row r="21" spans="1:17" ht="12.75" customHeight="1">
      <c r="A21" s="20"/>
      <c r="B21" s="28" t="s">
        <v>48</v>
      </c>
      <c r="C21" s="35">
        <v>103.5</v>
      </c>
      <c r="D21" s="36">
        <f t="shared" si="7"/>
        <v>0.1774302696897242</v>
      </c>
      <c r="E21" s="35">
        <v>87.5</v>
      </c>
      <c r="F21" s="36">
        <f t="shared" si="8"/>
        <v>0.12772272928145745</v>
      </c>
      <c r="G21" s="35">
        <v>603</v>
      </c>
      <c r="H21" s="36">
        <f t="shared" si="9"/>
        <v>0.8516221424581656</v>
      </c>
      <c r="I21" s="35">
        <v>30</v>
      </c>
      <c r="J21" s="36">
        <f t="shared" si="10"/>
        <v>0.03867955727378744</v>
      </c>
      <c r="K21" s="35">
        <v>54.5</v>
      </c>
      <c r="L21" s="36">
        <f t="shared" si="11"/>
        <v>0.06329361997407285</v>
      </c>
      <c r="M21" s="35">
        <v>67</v>
      </c>
      <c r="N21" s="36">
        <f t="shared" si="12"/>
        <v>0.07442596199721514</v>
      </c>
      <c r="O21" s="35">
        <v>117</v>
      </c>
      <c r="P21" s="36">
        <f t="shared" si="13"/>
        <v>0.11231344089505173</v>
      </c>
      <c r="Q21" s="18"/>
    </row>
    <row r="22" spans="1:17" ht="12.75" customHeight="1">
      <c r="A22" s="20"/>
      <c r="B22" s="28" t="s">
        <v>60</v>
      </c>
      <c r="C22" s="35">
        <v>0</v>
      </c>
      <c r="D22" s="36">
        <f t="shared" si="7"/>
        <v>0</v>
      </c>
      <c r="E22" s="35">
        <v>0</v>
      </c>
      <c r="F22" s="36">
        <f t="shared" si="8"/>
        <v>0</v>
      </c>
      <c r="G22" s="35">
        <v>0</v>
      </c>
      <c r="H22" s="36">
        <f t="shared" si="9"/>
        <v>0</v>
      </c>
      <c r="I22" s="35">
        <f>411.2*1.25</f>
        <v>514</v>
      </c>
      <c r="J22" s="36">
        <f t="shared" si="10"/>
        <v>0.6627097479575581</v>
      </c>
      <c r="K22" s="35">
        <f>564.8*1.25</f>
        <v>706</v>
      </c>
      <c r="L22" s="36">
        <f t="shared" si="11"/>
        <v>0.819913682599916</v>
      </c>
      <c r="M22" s="35">
        <f>1004.8*1.25</f>
        <v>1256</v>
      </c>
      <c r="N22" s="36">
        <f t="shared" si="12"/>
        <v>1.3952090786343616</v>
      </c>
      <c r="O22" s="35">
        <f>571.2*1.25</f>
        <v>714</v>
      </c>
      <c r="P22" s="36">
        <f t="shared" si="13"/>
        <v>0.6853999726415978</v>
      </c>
      <c r="Q22" s="18"/>
    </row>
    <row r="23" spans="1:17" ht="12.75" customHeight="1">
      <c r="A23" s="20"/>
      <c r="B23" s="28" t="s">
        <v>49</v>
      </c>
      <c r="C23" s="35">
        <f>2318.88*1.25</f>
        <v>2898.6000000000004</v>
      </c>
      <c r="D23" s="36">
        <f t="shared" si="7"/>
        <v>4.969076132585842</v>
      </c>
      <c r="E23" s="35">
        <f>3426.48*1.25</f>
        <v>4283.1</v>
      </c>
      <c r="F23" s="36">
        <f t="shared" si="8"/>
        <v>6.251991106118976</v>
      </c>
      <c r="G23" s="35">
        <f>3727.2*1.25</f>
        <v>4659</v>
      </c>
      <c r="H23" s="36">
        <f t="shared" si="9"/>
        <v>6.579946205161846</v>
      </c>
      <c r="I23" s="35">
        <f>2909.2*1.25</f>
        <v>3636.5</v>
      </c>
      <c r="J23" s="36">
        <f t="shared" si="10"/>
        <v>4.688607000870935</v>
      </c>
      <c r="K23" s="35">
        <f>1.25*4219.2</f>
        <v>5274</v>
      </c>
      <c r="L23" s="36">
        <f t="shared" si="11"/>
        <v>6.124964252169911</v>
      </c>
      <c r="M23" s="35">
        <f>4695.04*1.25</f>
        <v>5868.8</v>
      </c>
      <c r="N23" s="36">
        <f t="shared" si="12"/>
        <v>6.519269936854571</v>
      </c>
      <c r="O23" s="35">
        <f>1.25*4827.6</f>
        <v>6034.5</v>
      </c>
      <c r="P23" s="36">
        <f t="shared" si="13"/>
        <v>5.79278170154863</v>
      </c>
      <c r="Q23" s="18"/>
    </row>
    <row r="24" spans="1:17" ht="12.75" customHeight="1" thickBot="1">
      <c r="A24" s="20"/>
      <c r="B24" s="28" t="s">
        <v>50</v>
      </c>
      <c r="C24" s="35">
        <f>56.8*1.25</f>
        <v>71</v>
      </c>
      <c r="D24" s="36">
        <f t="shared" si="7"/>
        <v>0.12171545070502819</v>
      </c>
      <c r="E24" s="35">
        <f>52.8*1.25</f>
        <v>66</v>
      </c>
      <c r="F24" s="36">
        <f t="shared" si="8"/>
        <v>0.09633943008658505</v>
      </c>
      <c r="G24" s="35">
        <f>76*1.25</f>
        <v>95</v>
      </c>
      <c r="H24" s="36">
        <f t="shared" si="9"/>
        <v>0.134169325926245</v>
      </c>
      <c r="I24" s="35">
        <f>57*1.25</f>
        <v>71.25</v>
      </c>
      <c r="J24" s="36">
        <f t="shared" si="10"/>
        <v>0.09186394852524517</v>
      </c>
      <c r="K24" s="35">
        <f>95.2*1.25</f>
        <v>119</v>
      </c>
      <c r="L24" s="36">
        <f t="shared" si="11"/>
        <v>0.13820074820026915</v>
      </c>
      <c r="M24" s="35">
        <f>101.44*1.25</f>
        <v>126.8</v>
      </c>
      <c r="N24" s="36">
        <f t="shared" si="12"/>
        <v>0.1408539101678639</v>
      </c>
      <c r="O24" s="35">
        <f>60.8*1.25</f>
        <v>76</v>
      </c>
      <c r="P24" s="36">
        <f t="shared" si="13"/>
        <v>0.07295573938481993</v>
      </c>
      <c r="Q24" s="18"/>
    </row>
    <row r="25" spans="1:17" ht="12.75" customHeight="1" thickBot="1" thickTop="1">
      <c r="A25" s="20"/>
      <c r="B25" s="27" t="s">
        <v>9</v>
      </c>
      <c r="C25" s="33">
        <f>SUM(C4:C24)</f>
        <v>58306.899999999994</v>
      </c>
      <c r="D25" s="34"/>
      <c r="E25" s="33">
        <f>SUM(E4:E24)</f>
        <v>68485.90000000001</v>
      </c>
      <c r="F25" s="34"/>
      <c r="G25" s="33">
        <f>SUM(G4:G24)</f>
        <v>70655.3</v>
      </c>
      <c r="H25" s="34"/>
      <c r="I25" s="33">
        <f>SUM(I4:I24)</f>
        <v>77552.85</v>
      </c>
      <c r="J25" s="34"/>
      <c r="K25" s="33">
        <f>SUM(K4:K24)</f>
        <v>86093.00000000001</v>
      </c>
      <c r="L25" s="34"/>
      <c r="M25" s="33">
        <f>SUM(M4:M24)</f>
        <v>90005.59999999999</v>
      </c>
      <c r="N25" s="34"/>
      <c r="O25" s="33">
        <f>SUM(O4:O24)</f>
        <v>104143.5</v>
      </c>
      <c r="P25" s="34"/>
      <c r="Q25" s="18"/>
    </row>
    <row r="26" spans="1:17" ht="12.75" customHeight="1" thickBot="1" thickTop="1">
      <c r="A26" s="20"/>
      <c r="B26" s="27" t="s">
        <v>10</v>
      </c>
      <c r="C26" s="33">
        <f>C25*0.8+C21*0.2</f>
        <v>46666.219999999994</v>
      </c>
      <c r="D26" s="34"/>
      <c r="E26" s="33">
        <f>E25*0.8+E21*0.2</f>
        <v>54806.22000000001</v>
      </c>
      <c r="F26" s="34"/>
      <c r="G26" s="33">
        <f>G25*0.8+G21*0.2</f>
        <v>56644.840000000004</v>
      </c>
      <c r="H26" s="34"/>
      <c r="I26" s="33">
        <f>I25*0.8+I21*0.2</f>
        <v>62048.280000000006</v>
      </c>
      <c r="J26" s="34"/>
      <c r="K26" s="33">
        <f>K25*0.8+K21*0.2</f>
        <v>68885.3</v>
      </c>
      <c r="L26" s="34"/>
      <c r="M26" s="33">
        <f>M25*0.8+M21*0.2</f>
        <v>72017.87999999999</v>
      </c>
      <c r="N26" s="34"/>
      <c r="O26" s="33">
        <f>O25*0.8+O21*0.2</f>
        <v>83338.2</v>
      </c>
      <c r="P26" s="34"/>
      <c r="Q26" s="18"/>
    </row>
    <row r="27" spans="1:17" ht="12.75" customHeight="1" thickBot="1" thickTop="1">
      <c r="A27" s="20"/>
      <c r="B27" s="29"/>
      <c r="C27" s="37"/>
      <c r="D27" s="5"/>
      <c r="E27" s="37"/>
      <c r="F27" s="5"/>
      <c r="G27" s="37"/>
      <c r="H27" s="5"/>
      <c r="I27" s="37"/>
      <c r="J27" s="5"/>
      <c r="K27" s="37"/>
      <c r="L27" s="5"/>
      <c r="M27" s="37"/>
      <c r="N27" s="5"/>
      <c r="O27" s="37"/>
      <c r="P27" s="5"/>
      <c r="Q27" s="20"/>
    </row>
    <row r="28" spans="1:17" ht="12.75" customHeight="1" thickBot="1" thickTop="1">
      <c r="A28" s="20"/>
      <c r="B28" s="27" t="s">
        <v>11</v>
      </c>
      <c r="C28" s="38"/>
      <c r="D28" s="5">
        <v>26</v>
      </c>
      <c r="E28" s="38"/>
      <c r="F28" s="5">
        <v>24</v>
      </c>
      <c r="G28" s="38"/>
      <c r="H28" s="5">
        <v>26</v>
      </c>
      <c r="I28" s="38"/>
      <c r="J28" s="5">
        <v>23</v>
      </c>
      <c r="K28" s="38"/>
      <c r="L28" s="5">
        <v>23</v>
      </c>
      <c r="M28" s="38"/>
      <c r="N28" s="5">
        <v>26</v>
      </c>
      <c r="O28" s="38"/>
      <c r="P28" s="5">
        <v>27</v>
      </c>
      <c r="Q28" s="18"/>
    </row>
    <row r="29" spans="1:17" ht="12.75" customHeight="1" thickBot="1" thickTop="1">
      <c r="A29" s="20"/>
      <c r="B29" s="27" t="s">
        <v>12</v>
      </c>
      <c r="C29" s="38">
        <f>C25/D28</f>
        <v>2242.5730769230768</v>
      </c>
      <c r="D29" s="37"/>
      <c r="E29" s="38">
        <f>E25/F28</f>
        <v>2853.579166666667</v>
      </c>
      <c r="F29" s="37"/>
      <c r="G29" s="38">
        <f>G25/H28</f>
        <v>2717.5115384615387</v>
      </c>
      <c r="H29" s="37"/>
      <c r="I29" s="38">
        <f>I25/J28</f>
        <v>3371.8630434782613</v>
      </c>
      <c r="J29" s="37"/>
      <c r="K29" s="38">
        <f>K25/L28</f>
        <v>3743.173913043479</v>
      </c>
      <c r="L29" s="37"/>
      <c r="M29" s="38">
        <f>M25/N28</f>
        <v>3461.7538461538456</v>
      </c>
      <c r="N29" s="37"/>
      <c r="O29" s="38">
        <f>O25/P28</f>
        <v>3857.1666666666665</v>
      </c>
      <c r="P29" s="37"/>
      <c r="Q29" s="19"/>
    </row>
    <row r="30" spans="1:17" ht="12.75" customHeight="1" thickBot="1" thickTop="1">
      <c r="A30" s="20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3"/>
    </row>
    <row r="31" spans="1:17" ht="12.75" customHeight="1" thickBot="1" thickTop="1">
      <c r="A31" s="20"/>
      <c r="B31" s="27" t="s">
        <v>58</v>
      </c>
      <c r="C31" s="38">
        <v>2162</v>
      </c>
      <c r="D31" s="37"/>
      <c r="E31" s="38">
        <v>3091</v>
      </c>
      <c r="F31" s="37"/>
      <c r="G31" s="38">
        <v>3008</v>
      </c>
      <c r="H31" s="37"/>
      <c r="I31" s="38">
        <v>2928</v>
      </c>
      <c r="J31" s="37"/>
      <c r="K31" s="38">
        <v>3817</v>
      </c>
      <c r="L31" s="37"/>
      <c r="M31" s="38">
        <v>3465</v>
      </c>
      <c r="N31" s="37"/>
      <c r="O31" s="38">
        <v>3227</v>
      </c>
      <c r="P31" s="37"/>
      <c r="Q31" s="19"/>
    </row>
    <row r="32" spans="1:17" ht="12.75" customHeight="1" thickBot="1" thickTop="1">
      <c r="A32" s="20"/>
      <c r="B32" s="27" t="s">
        <v>56</v>
      </c>
      <c r="C32" s="38">
        <v>2513</v>
      </c>
      <c r="D32" s="37"/>
      <c r="E32" s="38">
        <v>2936</v>
      </c>
      <c r="F32" s="37"/>
      <c r="G32" s="38">
        <v>3099</v>
      </c>
      <c r="H32" s="37"/>
      <c r="I32" s="38">
        <v>3303</v>
      </c>
      <c r="J32" s="37"/>
      <c r="K32" s="38">
        <v>3413</v>
      </c>
      <c r="L32" s="37"/>
      <c r="M32" s="38">
        <v>3237</v>
      </c>
      <c r="N32" s="37"/>
      <c r="O32" s="38">
        <v>3539</v>
      </c>
      <c r="P32" s="37"/>
      <c r="Q32" s="19"/>
    </row>
    <row r="33" spans="1:17" ht="12.75" customHeight="1" thickTop="1">
      <c r="A33" s="20"/>
      <c r="B33" s="29"/>
      <c r="C33" s="37"/>
      <c r="D33" s="5"/>
      <c r="E33" s="37"/>
      <c r="F33" s="5"/>
      <c r="G33" s="37"/>
      <c r="H33" s="5"/>
      <c r="I33" s="37"/>
      <c r="J33" s="5"/>
      <c r="K33" s="37"/>
      <c r="L33" s="5"/>
      <c r="M33" s="37"/>
      <c r="N33" s="5"/>
      <c r="O33" s="37"/>
      <c r="P33" s="5"/>
      <c r="Q33" s="20"/>
    </row>
    <row r="34" spans="1:17" ht="12.75" customHeight="1" thickBot="1">
      <c r="A34" s="20"/>
      <c r="B34" s="26"/>
      <c r="C34" s="39"/>
      <c r="D34" s="32"/>
      <c r="E34" s="39"/>
      <c r="F34" s="32"/>
      <c r="G34" s="39"/>
      <c r="H34" s="32"/>
      <c r="I34" s="39"/>
      <c r="J34" s="32"/>
      <c r="K34" s="39"/>
      <c r="L34" s="32"/>
      <c r="M34" s="39"/>
      <c r="N34" s="32"/>
      <c r="O34" s="39"/>
      <c r="P34" s="32"/>
      <c r="Q34" s="20"/>
    </row>
    <row r="35" spans="1:17" ht="12.75" customHeight="1" thickBot="1" thickTop="1">
      <c r="A35" s="20"/>
      <c r="B35" s="27" t="s">
        <v>0</v>
      </c>
      <c r="C35" s="49" t="s">
        <v>13</v>
      </c>
      <c r="D35" s="47" t="s">
        <v>2</v>
      </c>
      <c r="E35" s="49" t="s">
        <v>14</v>
      </c>
      <c r="F35" s="47" t="s">
        <v>2</v>
      </c>
      <c r="G35" s="49" t="s">
        <v>15</v>
      </c>
      <c r="H35" s="47" t="s">
        <v>2</v>
      </c>
      <c r="I35" s="49" t="s">
        <v>16</v>
      </c>
      <c r="J35" s="47" t="s">
        <v>2</v>
      </c>
      <c r="K35" s="49" t="s">
        <v>17</v>
      </c>
      <c r="L35" s="47" t="s">
        <v>2</v>
      </c>
      <c r="M35" s="49" t="s">
        <v>18</v>
      </c>
      <c r="N35" s="48"/>
      <c r="O35" s="50" t="s">
        <v>19</v>
      </c>
      <c r="P35" s="47" t="s">
        <v>2</v>
      </c>
      <c r="Q35" s="18"/>
    </row>
    <row r="36" spans="1:17" ht="12.75" customHeight="1" thickTop="1">
      <c r="A36" s="20"/>
      <c r="B36" s="27" t="s">
        <v>31</v>
      </c>
      <c r="C36" s="33">
        <f>3424.08*1.25</f>
        <v>4280.1</v>
      </c>
      <c r="D36" s="34">
        <f aca="true" t="shared" si="14" ref="D36:D46">80*C36/C$58</f>
        <v>4.579590323487533</v>
      </c>
      <c r="E36" s="33">
        <f>3256.96*1.25</f>
        <v>4071.2</v>
      </c>
      <c r="F36" s="34">
        <f aca="true" t="shared" si="15" ref="F36:F46">80*E36/E$58</f>
        <v>5.912472547600798</v>
      </c>
      <c r="G36" s="33">
        <f>2922.48*1.25</f>
        <v>3653.1</v>
      </c>
      <c r="H36" s="34">
        <f aca="true" t="shared" si="16" ref="H36:H46">80*G36/G$58</f>
        <v>4.30652468373904</v>
      </c>
      <c r="I36" s="33">
        <f>3226.88*1.25</f>
        <v>4033.6000000000004</v>
      </c>
      <c r="J36" s="34">
        <f aca="true" t="shared" si="17" ref="J36:J46">80*I36/I$58</f>
        <v>3.393690760698779</v>
      </c>
      <c r="K36" s="33">
        <f>8161.04*1.25</f>
        <v>10201.3</v>
      </c>
      <c r="L36" s="34">
        <f aca="true" t="shared" si="18" ref="L36:L46">80*K36/K$58</f>
        <v>3.4476922880642844</v>
      </c>
      <c r="M36" s="33"/>
      <c r="N36" s="40"/>
      <c r="O36" s="38">
        <f aca="true" t="shared" si="19" ref="O36:O56">C4+E4+G4+I4+K4+M4+O4+C36+E36+G36+I36+K36+M36</f>
        <v>60298.899999999994</v>
      </c>
      <c r="P36" s="34">
        <f aca="true" t="shared" si="20" ref="P36:P46">O36*80/$O$58</f>
        <v>4.953098517407071</v>
      </c>
      <c r="Q36" s="18"/>
    </row>
    <row r="37" spans="1:17" ht="12.75" customHeight="1">
      <c r="A37" s="20"/>
      <c r="B37" s="28" t="s">
        <v>32</v>
      </c>
      <c r="C37" s="35">
        <f>6909.2*1.25</f>
        <v>8636.5</v>
      </c>
      <c r="D37" s="36">
        <f t="shared" si="14"/>
        <v>9.240819567019482</v>
      </c>
      <c r="E37" s="35">
        <f>2428.4*1.25</f>
        <v>3035.5</v>
      </c>
      <c r="F37" s="36">
        <f t="shared" si="15"/>
        <v>4.408358817607148</v>
      </c>
      <c r="G37" s="35">
        <f>4590.4*1.25</f>
        <v>5738</v>
      </c>
      <c r="H37" s="36">
        <f t="shared" si="16"/>
        <v>6.76434771435072</v>
      </c>
      <c r="I37" s="35">
        <f>3190*1.25</f>
        <v>3987.5</v>
      </c>
      <c r="J37" s="36">
        <f t="shared" si="17"/>
        <v>3.354904281110269</v>
      </c>
      <c r="K37" s="35">
        <f>9024.8*1.25</f>
        <v>11281</v>
      </c>
      <c r="L37" s="36">
        <f t="shared" si="18"/>
        <v>3.812594149927283</v>
      </c>
      <c r="M37" s="35"/>
      <c r="N37" s="41"/>
      <c r="O37" s="42">
        <f t="shared" si="19"/>
        <v>71782.6</v>
      </c>
      <c r="P37" s="36">
        <f t="shared" si="20"/>
        <v>5.896397606517279</v>
      </c>
      <c r="Q37" s="18"/>
    </row>
    <row r="38" spans="1:17" ht="12.75" customHeight="1">
      <c r="A38" s="20"/>
      <c r="B38" s="28" t="s">
        <v>33</v>
      </c>
      <c r="C38" s="35">
        <f>4999.52*1.25</f>
        <v>6249.400000000001</v>
      </c>
      <c r="D38" s="36">
        <f t="shared" si="14"/>
        <v>6.686687639915656</v>
      </c>
      <c r="E38" s="35">
        <f>3826.4*1.25</f>
        <v>4783</v>
      </c>
      <c r="F38" s="36">
        <f t="shared" si="15"/>
        <v>6.946196746702352</v>
      </c>
      <c r="G38" s="35">
        <f>3058.8*1.25</f>
        <v>3823.5</v>
      </c>
      <c r="H38" s="36">
        <f t="shared" si="16"/>
        <v>4.507403883900309</v>
      </c>
      <c r="I38" s="35">
        <f>7102.8*1.25</f>
        <v>8878.5</v>
      </c>
      <c r="J38" s="36">
        <f t="shared" si="17"/>
        <v>7.469973080836996</v>
      </c>
      <c r="K38" s="35">
        <f>14446.48*1.25</f>
        <v>18058.1</v>
      </c>
      <c r="L38" s="36">
        <f t="shared" si="18"/>
        <v>6.103023350660568</v>
      </c>
      <c r="M38" s="35"/>
      <c r="N38" s="41"/>
      <c r="O38" s="42">
        <f t="shared" si="19"/>
        <v>72612.6</v>
      </c>
      <c r="P38" s="36">
        <f t="shared" si="20"/>
        <v>5.9645758281672245</v>
      </c>
      <c r="Q38" s="18"/>
    </row>
    <row r="39" spans="1:17" ht="12.75" customHeight="1">
      <c r="A39" s="20"/>
      <c r="B39" s="28" t="s">
        <v>34</v>
      </c>
      <c r="C39" s="35">
        <f>5216*1.25</f>
        <v>6520</v>
      </c>
      <c r="D39" s="36">
        <f t="shared" si="14"/>
        <v>6.976222263297287</v>
      </c>
      <c r="E39" s="35">
        <f>6339.36*1.25</f>
        <v>7924.2</v>
      </c>
      <c r="F39" s="36">
        <f t="shared" si="15"/>
        <v>11.508060267660207</v>
      </c>
      <c r="G39" s="35">
        <f>7232*1.25</f>
        <v>9040</v>
      </c>
      <c r="H39" s="36">
        <f t="shared" si="16"/>
        <v>10.656971651748083</v>
      </c>
      <c r="I39" s="35">
        <f>10698.4*1.25</f>
        <v>13373</v>
      </c>
      <c r="J39" s="36">
        <f t="shared" si="17"/>
        <v>11.251444501890314</v>
      </c>
      <c r="K39" s="35">
        <f>27778.72*1.25</f>
        <v>34723.4</v>
      </c>
      <c r="L39" s="36">
        <f t="shared" si="18"/>
        <v>11.735327693075526</v>
      </c>
      <c r="M39" s="35"/>
      <c r="N39" s="41"/>
      <c r="O39" s="42">
        <f t="shared" si="19"/>
        <v>107417.29999999999</v>
      </c>
      <c r="P39" s="36">
        <f t="shared" si="20"/>
        <v>8.823518660769443</v>
      </c>
      <c r="Q39" s="18"/>
    </row>
    <row r="40" spans="1:17" ht="12.75" customHeight="1">
      <c r="A40" s="20"/>
      <c r="B40" s="28" t="s">
        <v>35</v>
      </c>
      <c r="C40" s="35">
        <f>4523.2*1.25</f>
        <v>5654</v>
      </c>
      <c r="D40" s="36">
        <f t="shared" si="14"/>
        <v>6.049625870656881</v>
      </c>
      <c r="E40" s="35">
        <f>3944.8*1.25</f>
        <v>4931</v>
      </c>
      <c r="F40" s="36">
        <f t="shared" si="15"/>
        <v>7.161132376748755</v>
      </c>
      <c r="G40" s="35">
        <f>4544*1.25</f>
        <v>5680</v>
      </c>
      <c r="H40" s="36">
        <f t="shared" si="16"/>
        <v>6.695973338708973</v>
      </c>
      <c r="I40" s="35">
        <f>3240*1.25</f>
        <v>4050</v>
      </c>
      <c r="J40" s="36">
        <f t="shared" si="17"/>
        <v>3.4074889877107433</v>
      </c>
      <c r="K40" s="35">
        <f>10192.4*1.25</f>
        <v>12740.5</v>
      </c>
      <c r="L40" s="36">
        <f t="shared" si="18"/>
        <v>4.305855488622334</v>
      </c>
      <c r="M40" s="35"/>
      <c r="N40" s="41"/>
      <c r="O40" s="42">
        <f t="shared" si="19"/>
        <v>64499.7</v>
      </c>
      <c r="P40" s="36">
        <f t="shared" si="20"/>
        <v>5.298162461391515</v>
      </c>
      <c r="Q40" s="18"/>
    </row>
    <row r="41" spans="1:17" ht="12.75" customHeight="1">
      <c r="A41" s="20"/>
      <c r="B41" s="28" t="s">
        <v>36</v>
      </c>
      <c r="C41" s="35">
        <f>831.2*1.25</f>
        <v>1039</v>
      </c>
      <c r="D41" s="36">
        <f t="shared" si="14"/>
        <v>1.1117016766205339</v>
      </c>
      <c r="E41" s="35">
        <f>667.2*1.25</f>
        <v>834</v>
      </c>
      <c r="F41" s="36">
        <f t="shared" si="15"/>
        <v>1.2111913206668956</v>
      </c>
      <c r="G41" s="35">
        <f>624.8*1.25</f>
        <v>781</v>
      </c>
      <c r="H41" s="36">
        <f t="shared" si="16"/>
        <v>0.9206963340724839</v>
      </c>
      <c r="I41" s="35">
        <f>1176*1.25</f>
        <v>1470</v>
      </c>
      <c r="J41" s="36">
        <f t="shared" si="17"/>
        <v>1.2367922992431588</v>
      </c>
      <c r="K41" s="35">
        <f>1223.28*1.25</f>
        <v>1529.1</v>
      </c>
      <c r="L41" s="36">
        <f t="shared" si="18"/>
        <v>0.5167837704683812</v>
      </c>
      <c r="M41" s="35"/>
      <c r="N41" s="41"/>
      <c r="O41" s="42">
        <f t="shared" si="19"/>
        <v>14434.1</v>
      </c>
      <c r="P41" s="36">
        <f t="shared" si="20"/>
        <v>1.1856521314668327</v>
      </c>
      <c r="Q41" s="18"/>
    </row>
    <row r="42" spans="1:17" ht="12.75" customHeight="1">
      <c r="A42" s="20"/>
      <c r="B42" s="28" t="s">
        <v>37</v>
      </c>
      <c r="C42" s="35">
        <f>11386.16*1.25</f>
        <v>14232.7</v>
      </c>
      <c r="D42" s="36">
        <f t="shared" si="14"/>
        <v>15.228601013317684</v>
      </c>
      <c r="E42" s="35">
        <f>2200*1.25</f>
        <v>2750</v>
      </c>
      <c r="F42" s="36">
        <f t="shared" si="15"/>
        <v>3.993736369105471</v>
      </c>
      <c r="G42" s="35">
        <f>1596*1.25</f>
        <v>1995</v>
      </c>
      <c r="H42" s="36">
        <f t="shared" si="16"/>
        <v>2.351842748366972</v>
      </c>
      <c r="I42" s="35">
        <f>1712*1.25</f>
        <v>2140</v>
      </c>
      <c r="J42" s="36">
        <f t="shared" si="17"/>
        <v>1.8005003540002447</v>
      </c>
      <c r="K42" s="35">
        <f>6444.8*1.25</f>
        <v>8056</v>
      </c>
      <c r="L42" s="36">
        <f t="shared" si="18"/>
        <v>2.722653884568229</v>
      </c>
      <c r="M42" s="35"/>
      <c r="N42" s="41"/>
      <c r="O42" s="42">
        <f t="shared" si="19"/>
        <v>95993.9</v>
      </c>
      <c r="P42" s="36">
        <f t="shared" si="20"/>
        <v>7.88517276053332</v>
      </c>
      <c r="Q42" s="18"/>
    </row>
    <row r="43" spans="1:17" ht="12.75" customHeight="1">
      <c r="A43" s="20"/>
      <c r="B43" s="28" t="s">
        <v>38</v>
      </c>
      <c r="C43" s="35">
        <f>8002*1.25</f>
        <v>10002.5</v>
      </c>
      <c r="D43" s="36">
        <f t="shared" si="14"/>
        <v>10.70240232954465</v>
      </c>
      <c r="E43" s="35">
        <f>6430.4*1.25</f>
        <v>8038</v>
      </c>
      <c r="F43" s="36">
        <f t="shared" si="15"/>
        <v>11.673328339952645</v>
      </c>
      <c r="G43" s="35">
        <f>8711.36*1.25</f>
        <v>10889.2</v>
      </c>
      <c r="H43" s="36">
        <f t="shared" si="16"/>
        <v>12.836935366174252</v>
      </c>
      <c r="I43" s="35">
        <f>11890.16*1.25</f>
        <v>14862.7</v>
      </c>
      <c r="J43" s="36">
        <f t="shared" si="17"/>
        <v>12.504811500653942</v>
      </c>
      <c r="K43" s="35">
        <f>33594.56*1.25</f>
        <v>41993.2</v>
      </c>
      <c r="L43" s="36">
        <f t="shared" si="18"/>
        <v>14.192272729077775</v>
      </c>
      <c r="M43" s="35"/>
      <c r="N43" s="41"/>
      <c r="O43" s="42">
        <f t="shared" si="19"/>
        <v>157073.9</v>
      </c>
      <c r="P43" s="36">
        <f t="shared" si="20"/>
        <v>12.902432734483488</v>
      </c>
      <c r="Q43" s="18"/>
    </row>
    <row r="44" spans="1:17" ht="12.75" customHeight="1">
      <c r="A44" s="20"/>
      <c r="B44" s="28" t="s">
        <v>39</v>
      </c>
      <c r="C44" s="35">
        <f>6372*1.25-C45</f>
        <v>5491</v>
      </c>
      <c r="D44" s="36">
        <f t="shared" si="14"/>
        <v>5.875220314074449</v>
      </c>
      <c r="E44" s="35">
        <f>1.25*3759.2-E45</f>
        <v>3437</v>
      </c>
      <c r="F44" s="36">
        <f t="shared" si="15"/>
        <v>4.991444327496547</v>
      </c>
      <c r="G44" s="35">
        <f>1.25*9199.28-G45</f>
        <v>9364.1</v>
      </c>
      <c r="H44" s="36">
        <f t="shared" si="16"/>
        <v>11.039042947359981</v>
      </c>
      <c r="I44" s="35">
        <f>1.25*8585.6-I45</f>
        <v>9086</v>
      </c>
      <c r="J44" s="36">
        <f t="shared" si="17"/>
        <v>7.644554306750572</v>
      </c>
      <c r="K44" s="35">
        <f>1.25*24553.68-K45</f>
        <v>25522.1</v>
      </c>
      <c r="L44" s="36">
        <f t="shared" si="18"/>
        <v>8.625601378765987</v>
      </c>
      <c r="M44" s="35"/>
      <c r="N44" s="41"/>
      <c r="O44" s="42">
        <f t="shared" si="19"/>
        <v>92601.70000000001</v>
      </c>
      <c r="P44" s="36">
        <f t="shared" si="20"/>
        <v>7.606529190074352</v>
      </c>
      <c r="Q44" s="18"/>
    </row>
    <row r="45" spans="1:17" ht="12.75" customHeight="1">
      <c r="A45" s="20"/>
      <c r="B45" s="28" t="s">
        <v>40</v>
      </c>
      <c r="C45" s="35">
        <v>2474</v>
      </c>
      <c r="D45" s="36">
        <f t="shared" si="14"/>
        <v>2.6471125581897987</v>
      </c>
      <c r="E45" s="35">
        <v>1262</v>
      </c>
      <c r="F45" s="36">
        <f t="shared" si="15"/>
        <v>1.8327619264767652</v>
      </c>
      <c r="G45" s="35">
        <v>2135</v>
      </c>
      <c r="H45" s="36">
        <f t="shared" si="16"/>
        <v>2.516884344743602</v>
      </c>
      <c r="I45" s="35">
        <v>1646</v>
      </c>
      <c r="J45" s="36">
        <f t="shared" si="17"/>
        <v>1.3848708330300947</v>
      </c>
      <c r="K45" s="35">
        <v>5170</v>
      </c>
      <c r="L45" s="36">
        <f t="shared" si="18"/>
        <v>1.7472840843120336</v>
      </c>
      <c r="M45" s="35"/>
      <c r="N45" s="41"/>
      <c r="O45" s="42">
        <f t="shared" si="19"/>
        <v>24755</v>
      </c>
      <c r="P45" s="36">
        <f t="shared" si="20"/>
        <v>2.0334359963185404</v>
      </c>
      <c r="Q45" s="18"/>
    </row>
    <row r="46" spans="1:17" ht="12.75" customHeight="1">
      <c r="A46" s="20"/>
      <c r="B46" s="28" t="s">
        <v>41</v>
      </c>
      <c r="C46" s="35">
        <f>4944.8*1.25</f>
        <v>6181</v>
      </c>
      <c r="D46" s="36">
        <f t="shared" si="14"/>
        <v>6.613501504515419</v>
      </c>
      <c r="E46" s="35">
        <f>2662.24*1.25</f>
        <v>3327.7999999999997</v>
      </c>
      <c r="F46" s="36">
        <f t="shared" si="15"/>
        <v>4.832856686948795</v>
      </c>
      <c r="G46" s="35">
        <f>2903.2*1.25</f>
        <v>3629</v>
      </c>
      <c r="H46" s="36">
        <f t="shared" si="16"/>
        <v>4.278113951791349</v>
      </c>
      <c r="I46" s="35">
        <f>5113.2*1.25</f>
        <v>6391.5</v>
      </c>
      <c r="J46" s="36">
        <f t="shared" si="17"/>
        <v>5.377522435790918</v>
      </c>
      <c r="K46" s="35">
        <f>28372.32*1.25</f>
        <v>35465.4</v>
      </c>
      <c r="L46" s="36">
        <f t="shared" si="18"/>
        <v>11.986098445601547</v>
      </c>
      <c r="M46" s="35"/>
      <c r="N46" s="41"/>
      <c r="O46" s="42">
        <f t="shared" si="19"/>
        <v>99838.9</v>
      </c>
      <c r="P46" s="36">
        <f t="shared" si="20"/>
        <v>8.201010425887583</v>
      </c>
      <c r="Q46" s="18"/>
    </row>
    <row r="47" spans="1:17" ht="12.75" customHeight="1">
      <c r="A47" s="20"/>
      <c r="B47" s="28" t="s">
        <v>42</v>
      </c>
      <c r="C47" s="35">
        <f>2809.6*1.25</f>
        <v>3512</v>
      </c>
      <c r="D47" s="36">
        <f>100*C47/C$58</f>
        <v>4.697180327588204</v>
      </c>
      <c r="E47" s="35">
        <f>4004.8*1.25</f>
        <v>5006</v>
      </c>
      <c r="F47" s="36">
        <f>100*E47/E$58</f>
        <v>9.087565574428176</v>
      </c>
      <c r="G47" s="35">
        <f>3017.6*1.25</f>
        <v>3772</v>
      </c>
      <c r="H47" s="36">
        <f>100*G47/G$58</f>
        <v>5.558365192255776</v>
      </c>
      <c r="I47" s="35">
        <f>4374.56*1.25</f>
        <v>5468.200000000001</v>
      </c>
      <c r="J47" s="36">
        <f>100*I47/I$58</f>
        <v>5.750873852654287</v>
      </c>
      <c r="K47" s="35">
        <f>12753.44*1.25</f>
        <v>15941.800000000001</v>
      </c>
      <c r="L47" s="36">
        <f>100*K47/K$58</f>
        <v>6.73473245050425</v>
      </c>
      <c r="M47" s="35"/>
      <c r="N47" s="41"/>
      <c r="O47" s="42">
        <f t="shared" si="19"/>
        <v>52790.5</v>
      </c>
      <c r="P47" s="36">
        <f>O47*100/$O$58</f>
        <v>5.420425316282261</v>
      </c>
      <c r="Q47" s="18"/>
    </row>
    <row r="48" spans="1:17" ht="12.75" customHeight="1">
      <c r="A48" s="20"/>
      <c r="B48" s="28" t="s">
        <v>43</v>
      </c>
      <c r="C48" s="35">
        <f>1.25*2777.6</f>
        <v>3472</v>
      </c>
      <c r="D48" s="36">
        <f aca="true" t="shared" si="21" ref="D48:D56">80*C48/C$58</f>
        <v>3.7149453524797824</v>
      </c>
      <c r="E48" s="35">
        <f>2014.4*1.25</f>
        <v>2518</v>
      </c>
      <c r="F48" s="36">
        <f aca="true" t="shared" si="22" ref="F48:F56">80*E48/E$58</f>
        <v>3.6568102463300276</v>
      </c>
      <c r="G48" s="35">
        <f>4168.8*1.25</f>
        <v>5211</v>
      </c>
      <c r="H48" s="36">
        <f aca="true" t="shared" si="23" ref="H48:H56">80*G48/G$58</f>
        <v>6.143083990847264</v>
      </c>
      <c r="I48" s="35">
        <f>3820.8*1.25</f>
        <v>4776</v>
      </c>
      <c r="J48" s="36">
        <f aca="true" t="shared" si="24" ref="J48:J56">80*I48/I$58</f>
        <v>4.018312939581855</v>
      </c>
      <c r="K48" s="35">
        <f>5225.12*1.25</f>
        <v>6531.4</v>
      </c>
      <c r="L48" s="36">
        <f aca="true" t="shared" si="25" ref="L48:L56">80*K48/K$58</f>
        <v>2.207390960981744</v>
      </c>
      <c r="M48" s="35"/>
      <c r="N48" s="41"/>
      <c r="O48" s="42">
        <f t="shared" si="19"/>
        <v>48133.9</v>
      </c>
      <c r="P48" s="36">
        <f aca="true" t="shared" si="26" ref="P48:P56">O48*80/$O$58</f>
        <v>3.9538357868389005</v>
      </c>
      <c r="Q48" s="18"/>
    </row>
    <row r="49" spans="1:17" ht="12.75" customHeight="1">
      <c r="A49" s="20"/>
      <c r="B49" s="28" t="s">
        <v>44</v>
      </c>
      <c r="C49" s="35">
        <f>1.25*3260</f>
        <v>4075</v>
      </c>
      <c r="D49" s="36">
        <f t="shared" si="21"/>
        <v>4.360138914560805</v>
      </c>
      <c r="E49" s="35">
        <f>4363.2*1.25</f>
        <v>5454</v>
      </c>
      <c r="F49" s="36">
        <f t="shared" si="22"/>
        <v>7.920668420764087</v>
      </c>
      <c r="G49" s="35">
        <f>5508.4*1.25</f>
        <v>6885.5</v>
      </c>
      <c r="H49" s="36">
        <f t="shared" si="23"/>
        <v>8.11709937036631</v>
      </c>
      <c r="I49" s="35">
        <f>6780.8*1.25</f>
        <v>8476</v>
      </c>
      <c r="J49" s="36">
        <f t="shared" si="24"/>
        <v>7.131327570329941</v>
      </c>
      <c r="K49" s="35">
        <f>11993.92*1.25</f>
        <v>14992.4</v>
      </c>
      <c r="L49" s="36">
        <f t="shared" si="25"/>
        <v>5.066921064920645</v>
      </c>
      <c r="M49" s="35"/>
      <c r="N49" s="41"/>
      <c r="O49" s="42">
        <f t="shared" si="19"/>
        <v>66500.9</v>
      </c>
      <c r="P49" s="36">
        <f t="shared" si="26"/>
        <v>5.462545903760033</v>
      </c>
      <c r="Q49" s="18"/>
    </row>
    <row r="50" spans="1:17" ht="12.75" customHeight="1">
      <c r="A50" s="20"/>
      <c r="B50" s="28" t="s">
        <v>45</v>
      </c>
      <c r="C50" s="35">
        <f>1152.4*1.25</f>
        <v>1440.5</v>
      </c>
      <c r="D50" s="36">
        <f t="shared" si="21"/>
        <v>1.5412957316379974</v>
      </c>
      <c r="E50" s="35">
        <f>1074.4*1.25</f>
        <v>1343</v>
      </c>
      <c r="F50" s="36">
        <f t="shared" si="22"/>
        <v>1.9503956158940536</v>
      </c>
      <c r="G50" s="35">
        <f>1235.2*1.25</f>
        <v>1544</v>
      </c>
      <c r="H50" s="36">
        <f t="shared" si="23"/>
        <v>1.8201730343251152</v>
      </c>
      <c r="I50" s="35">
        <f>1766.4*1.25</f>
        <v>2208</v>
      </c>
      <c r="J50" s="36">
        <f t="shared" si="24"/>
        <v>1.857712514781561</v>
      </c>
      <c r="K50" s="35">
        <f>4966.8*1.25</f>
        <v>6208.5</v>
      </c>
      <c r="L50" s="36">
        <f t="shared" si="25"/>
        <v>2.098261748056337</v>
      </c>
      <c r="M50" s="35"/>
      <c r="N50" s="41"/>
      <c r="O50" s="42">
        <f t="shared" si="19"/>
        <v>23158.9</v>
      </c>
      <c r="P50" s="36">
        <f t="shared" si="26"/>
        <v>1.9023284546613388</v>
      </c>
      <c r="Q50" s="18"/>
    </row>
    <row r="51" spans="1:17" ht="12.75" customHeight="1">
      <c r="A51" s="20"/>
      <c r="B51" s="28" t="s">
        <v>46</v>
      </c>
      <c r="C51" s="35">
        <f>2357.6*1.25</f>
        <v>2947</v>
      </c>
      <c r="D51" s="36">
        <f t="shared" si="21"/>
        <v>3.153209664100783</v>
      </c>
      <c r="E51" s="35">
        <f>2280.8*1.25</f>
        <v>2851</v>
      </c>
      <c r="F51" s="36">
        <f t="shared" si="22"/>
        <v>4.140415413934435</v>
      </c>
      <c r="G51" s="35">
        <f>2430.08*1.25</f>
        <v>3037.6</v>
      </c>
      <c r="H51" s="36">
        <f t="shared" si="23"/>
        <v>3.5809310939546437</v>
      </c>
      <c r="I51" s="35">
        <f>5446.32*1.25</f>
        <v>6807.9</v>
      </c>
      <c r="J51" s="36">
        <f t="shared" si="24"/>
        <v>5.727862785045919</v>
      </c>
      <c r="K51" s="35">
        <f>11062.72*1.25</f>
        <v>13828.4</v>
      </c>
      <c r="L51" s="36">
        <f t="shared" si="25"/>
        <v>4.673528671470121</v>
      </c>
      <c r="M51" s="35"/>
      <c r="N51" s="41"/>
      <c r="O51" s="42">
        <f t="shared" si="19"/>
        <v>50641.1</v>
      </c>
      <c r="P51" s="36">
        <f t="shared" si="26"/>
        <v>4.159783301683168</v>
      </c>
      <c r="Q51" s="18"/>
    </row>
    <row r="52" spans="1:17" ht="12.75" customHeight="1">
      <c r="A52" s="20"/>
      <c r="B52" s="28" t="s">
        <v>47</v>
      </c>
      <c r="C52" s="35">
        <v>0</v>
      </c>
      <c r="D52" s="36">
        <f t="shared" si="21"/>
        <v>0</v>
      </c>
      <c r="E52" s="35">
        <v>0</v>
      </c>
      <c r="F52" s="36">
        <f t="shared" si="22"/>
        <v>0</v>
      </c>
      <c r="G52" s="35">
        <f>1218.08*1.25</f>
        <v>1522.6</v>
      </c>
      <c r="H52" s="36">
        <f t="shared" si="23"/>
        <v>1.794945247450402</v>
      </c>
      <c r="I52" s="35">
        <f>11885.84*1.25</f>
        <v>14857.3</v>
      </c>
      <c r="J52" s="36">
        <f t="shared" si="24"/>
        <v>12.500268182003662</v>
      </c>
      <c r="K52" s="35">
        <f>12798.64*1.25</f>
        <v>15998.3</v>
      </c>
      <c r="L52" s="36">
        <f t="shared" si="25"/>
        <v>5.406881037920543</v>
      </c>
      <c r="M52" s="35"/>
      <c r="N52" s="41"/>
      <c r="O52" s="42">
        <f t="shared" si="19"/>
        <v>32403.199999999997</v>
      </c>
      <c r="P52" s="36">
        <f t="shared" si="26"/>
        <v>2.6616777732138526</v>
      </c>
      <c r="Q52" s="18"/>
    </row>
    <row r="53" spans="1:17" ht="12.75" customHeight="1">
      <c r="A53" s="20"/>
      <c r="B53" s="28" t="s">
        <v>48</v>
      </c>
      <c r="C53" s="35">
        <v>194.5</v>
      </c>
      <c r="D53" s="36">
        <f t="shared" si="21"/>
        <v>0.20810969788517214</v>
      </c>
      <c r="E53" s="35">
        <v>256.5</v>
      </c>
      <c r="F53" s="36">
        <f t="shared" si="22"/>
        <v>0.37250668315474667</v>
      </c>
      <c r="G53" s="35">
        <v>106</v>
      </c>
      <c r="H53" s="36">
        <f t="shared" si="23"/>
        <v>0.12496006582801956</v>
      </c>
      <c r="I53" s="35">
        <v>219</v>
      </c>
      <c r="J53" s="36">
        <f t="shared" si="24"/>
        <v>0.18425681192806243</v>
      </c>
      <c r="K53" s="35">
        <v>2059.5</v>
      </c>
      <c r="L53" s="36">
        <f t="shared" si="25"/>
        <v>0.6960409229478981</v>
      </c>
      <c r="M53" s="35"/>
      <c r="N53" s="41"/>
      <c r="O53" s="42">
        <f t="shared" si="19"/>
        <v>3898</v>
      </c>
      <c r="P53" s="36">
        <f t="shared" si="26"/>
        <v>0.32019121444757304</v>
      </c>
      <c r="Q53" s="18"/>
    </row>
    <row r="54" spans="1:17" ht="12.75" customHeight="1">
      <c r="A54" s="20"/>
      <c r="B54" s="28" t="s">
        <v>60</v>
      </c>
      <c r="C54" s="35">
        <f>420*1.25</f>
        <v>525</v>
      </c>
      <c r="D54" s="36">
        <f t="shared" si="21"/>
        <v>0.5617356883789993</v>
      </c>
      <c r="E54" s="35">
        <f>1440.8*1.25</f>
        <v>1801</v>
      </c>
      <c r="F54" s="36">
        <f t="shared" si="22"/>
        <v>2.6155342548214375</v>
      </c>
      <c r="G54" s="35">
        <f>934.4*1.25</f>
        <v>1168</v>
      </c>
      <c r="H54" s="36">
        <f t="shared" si="23"/>
        <v>1.37691846119931</v>
      </c>
      <c r="I54" s="35">
        <f>948.8*1.25</f>
        <v>1186</v>
      </c>
      <c r="J54" s="36">
        <f t="shared" si="24"/>
        <v>0.9978473924506029</v>
      </c>
      <c r="K54" s="35">
        <f>2719.2*1.25</f>
        <v>3399</v>
      </c>
      <c r="L54" s="36">
        <f t="shared" si="25"/>
        <v>1.1487463447923796</v>
      </c>
      <c r="M54" s="35"/>
      <c r="N54" s="41"/>
      <c r="O54" s="42">
        <f t="shared" si="19"/>
        <v>11269</v>
      </c>
      <c r="P54" s="36">
        <f t="shared" si="26"/>
        <v>0.9256631081605182</v>
      </c>
      <c r="Q54" s="18"/>
    </row>
    <row r="55" spans="1:17" ht="12.75" customHeight="1">
      <c r="A55" s="20"/>
      <c r="B55" s="28" t="s">
        <v>49</v>
      </c>
      <c r="C55" s="35">
        <f>5130.4*1.25</f>
        <v>6413</v>
      </c>
      <c r="D55" s="36">
        <f t="shared" si="21"/>
        <v>6.861735180141949</v>
      </c>
      <c r="E55" s="35">
        <f>4064.8*1.25</f>
        <v>5081</v>
      </c>
      <c r="F55" s="36">
        <f t="shared" si="22"/>
        <v>7.378972542336326</v>
      </c>
      <c r="G55" s="35">
        <f>3795.6*1.25</f>
        <v>4744.5</v>
      </c>
      <c r="H55" s="36">
        <f t="shared" si="23"/>
        <v>5.593141814349423</v>
      </c>
      <c r="I55" s="35">
        <f>3804.32*1.25</f>
        <v>4755.400000000001</v>
      </c>
      <c r="J55" s="36">
        <f t="shared" si="24"/>
        <v>4.000981020286339</v>
      </c>
      <c r="K55" s="35">
        <f>9167.6*1.25</f>
        <v>11459.5</v>
      </c>
      <c r="L55" s="36">
        <f t="shared" si="25"/>
        <v>3.872921076242505</v>
      </c>
      <c r="M55" s="35"/>
      <c r="N55" s="41"/>
      <c r="O55" s="42">
        <f t="shared" si="19"/>
        <v>65107.9</v>
      </c>
      <c r="P55" s="36">
        <f t="shared" si="26"/>
        <v>5.348121490798137</v>
      </c>
      <c r="Q55" s="18"/>
    </row>
    <row r="56" spans="1:17" ht="12.75" customHeight="1" thickBot="1">
      <c r="A56" s="20"/>
      <c r="B56" s="28" t="s">
        <v>50</v>
      </c>
      <c r="C56" s="35">
        <f>58*1.25</f>
        <v>72.5</v>
      </c>
      <c r="D56" s="36">
        <f t="shared" si="21"/>
        <v>0.07757302363329038</v>
      </c>
      <c r="E56" s="35">
        <f>71.6*1.25</f>
        <v>89.5</v>
      </c>
      <c r="F56" s="36">
        <f t="shared" si="22"/>
        <v>0.12997796546725077</v>
      </c>
      <c r="G56" s="35">
        <f>65.2*1.25</f>
        <v>81.5</v>
      </c>
      <c r="H56" s="36">
        <f t="shared" si="23"/>
        <v>0.09607778646210939</v>
      </c>
      <c r="I56" s="35">
        <f>102.8*1.25</f>
        <v>128.5</v>
      </c>
      <c r="J56" s="36">
        <f t="shared" si="24"/>
        <v>0.10811415677057544</v>
      </c>
      <c r="K56" s="35">
        <f>171.2*1.25</f>
        <v>214</v>
      </c>
      <c r="L56" s="36">
        <f t="shared" si="25"/>
        <v>0.07232471838351552</v>
      </c>
      <c r="M56" s="35"/>
      <c r="N56" s="41"/>
      <c r="O56" s="42">
        <f t="shared" si="19"/>
        <v>1211.05</v>
      </c>
      <c r="P56" s="36">
        <f t="shared" si="26"/>
        <v>0.09947859678212757</v>
      </c>
      <c r="Q56" s="18"/>
    </row>
    <row r="57" spans="1:17" ht="12.75" customHeight="1" thickBot="1" thickTop="1">
      <c r="A57" s="20"/>
      <c r="B57" s="27" t="s">
        <v>9</v>
      </c>
      <c r="C57" s="33">
        <f>SUM(C36:C56)</f>
        <v>93411.7</v>
      </c>
      <c r="D57" s="34"/>
      <c r="E57" s="33">
        <f>SUM(E36:E56)</f>
        <v>68793.70000000001</v>
      </c>
      <c r="F57" s="34"/>
      <c r="G57" s="33">
        <f>SUM(G36:G56)</f>
        <v>84800.6</v>
      </c>
      <c r="H57" s="34"/>
      <c r="I57" s="33">
        <f>SUM(I36:I56)</f>
        <v>118801.09999999999</v>
      </c>
      <c r="J57" s="34"/>
      <c r="K57" s="33">
        <f>SUM(K36:K56)</f>
        <v>295372.89999999997</v>
      </c>
      <c r="L57" s="34"/>
      <c r="M57" s="33">
        <f>SUM(M36:M56)</f>
        <v>0</v>
      </c>
      <c r="N57" s="5"/>
      <c r="O57" s="38">
        <f>SUM(O36:O56)</f>
        <v>1216423.05</v>
      </c>
      <c r="P57" s="34"/>
      <c r="Q57" s="18"/>
    </row>
    <row r="58" spans="1:17" ht="12.75" customHeight="1" thickBot="1" thickTop="1">
      <c r="A58" s="20"/>
      <c r="B58" s="27" t="s">
        <v>10</v>
      </c>
      <c r="C58" s="33">
        <f>C57*0.8+C53*0.2</f>
        <v>74768.26</v>
      </c>
      <c r="D58" s="34"/>
      <c r="E58" s="33">
        <f>E57*0.8+E53*0.2</f>
        <v>55086.26000000002</v>
      </c>
      <c r="F58" s="34"/>
      <c r="G58" s="33">
        <f>G57*0.8+G53*0.2</f>
        <v>67861.68000000001</v>
      </c>
      <c r="H58" s="34"/>
      <c r="I58" s="33">
        <f>I57*0.8+I53*0.2</f>
        <v>95084.68000000001</v>
      </c>
      <c r="J58" s="34"/>
      <c r="K58" s="33">
        <f>K57*0.8+K53*0.2</f>
        <v>236710.21999999997</v>
      </c>
      <c r="L58" s="34"/>
      <c r="M58" s="33">
        <f>M57*0.8+M47*0.2</f>
        <v>0</v>
      </c>
      <c r="N58" s="5"/>
      <c r="O58" s="38">
        <f>O57*0.8+O53*0.2</f>
        <v>973918.04</v>
      </c>
      <c r="P58" s="34"/>
      <c r="Q58" s="18"/>
    </row>
    <row r="59" spans="1:17" ht="12.75" customHeight="1" thickBot="1" thickTop="1">
      <c r="A59" s="20"/>
      <c r="B59" s="29"/>
      <c r="C59" s="37"/>
      <c r="D59" s="5"/>
      <c r="E59" s="37"/>
      <c r="F59" s="5"/>
      <c r="G59" s="37"/>
      <c r="H59" s="5"/>
      <c r="I59" s="37"/>
      <c r="J59" s="5"/>
      <c r="K59" s="37"/>
      <c r="L59" s="5"/>
      <c r="M59" s="37"/>
      <c r="N59" s="5"/>
      <c r="O59" s="37"/>
      <c r="P59" s="5"/>
      <c r="Q59" s="20"/>
    </row>
    <row r="60" spans="1:17" ht="12.75" customHeight="1" thickBot="1" thickTop="1">
      <c r="A60" s="20"/>
      <c r="B60" s="27" t="s">
        <v>11</v>
      </c>
      <c r="C60" s="38"/>
      <c r="D60" s="5">
        <v>26</v>
      </c>
      <c r="E60" s="38"/>
      <c r="F60" s="5">
        <v>26</v>
      </c>
      <c r="G60" s="38"/>
      <c r="H60" s="5">
        <v>27</v>
      </c>
      <c r="I60" s="38"/>
      <c r="J60" s="5">
        <v>25</v>
      </c>
      <c r="K60" s="38"/>
      <c r="L60" s="5">
        <v>25</v>
      </c>
      <c r="M60" s="38"/>
      <c r="N60" s="5"/>
      <c r="O60" s="38"/>
      <c r="P60" s="5">
        <f>SUM(A28:P28)+SUM(A60:N60)</f>
        <v>304</v>
      </c>
      <c r="Q60" s="18"/>
    </row>
    <row r="61" spans="1:17" ht="12.75" customHeight="1" thickBot="1" thickTop="1">
      <c r="A61" s="20"/>
      <c r="B61" s="27" t="s">
        <v>12</v>
      </c>
      <c r="C61" s="38">
        <f>C57/D60</f>
        <v>3592.757692307692</v>
      </c>
      <c r="D61" s="37"/>
      <c r="E61" s="38">
        <f>E57/F60</f>
        <v>2645.911538461539</v>
      </c>
      <c r="F61" s="37"/>
      <c r="G61" s="38">
        <f>G57/H60</f>
        <v>3140.7629629629632</v>
      </c>
      <c r="H61" s="37"/>
      <c r="I61" s="38">
        <f>I57/J60</f>
        <v>4752.044</v>
      </c>
      <c r="J61" s="37"/>
      <c r="K61" s="38">
        <f>K57/L60</f>
        <v>11814.916</v>
      </c>
      <c r="L61" s="37"/>
      <c r="M61" s="38"/>
      <c r="N61" s="37"/>
      <c r="O61" s="38">
        <f>O57/P60</f>
        <v>4001.3916118421052</v>
      </c>
      <c r="P61" s="37"/>
      <c r="Q61" s="19"/>
    </row>
    <row r="62" spans="1:17" ht="12.75" customHeight="1" thickBot="1" thickTop="1">
      <c r="A62" s="20"/>
      <c r="B62" s="29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5"/>
      <c r="Q62" s="20"/>
    </row>
    <row r="63" spans="1:17" ht="12.75" customHeight="1" thickBot="1" thickTop="1">
      <c r="A63" s="20"/>
      <c r="B63" s="27" t="s">
        <v>58</v>
      </c>
      <c r="C63" s="38">
        <v>3019</v>
      </c>
      <c r="D63" s="37"/>
      <c r="E63" s="38">
        <v>2447</v>
      </c>
      <c r="F63" s="37"/>
      <c r="G63" s="38">
        <v>3027</v>
      </c>
      <c r="H63" s="37"/>
      <c r="I63" s="38">
        <v>4650</v>
      </c>
      <c r="J63" s="37"/>
      <c r="K63" s="38">
        <v>10917</v>
      </c>
      <c r="L63" s="37"/>
      <c r="M63" s="38"/>
      <c r="N63" s="37"/>
      <c r="O63" s="38">
        <v>3775</v>
      </c>
      <c r="P63" s="37"/>
      <c r="Q63" s="19"/>
    </row>
    <row r="64" spans="1:17" ht="12.75" customHeight="1" thickBot="1" thickTop="1">
      <c r="A64" s="20"/>
      <c r="B64" s="27" t="s">
        <v>56</v>
      </c>
      <c r="C64" s="38">
        <v>3357</v>
      </c>
      <c r="D64" s="37"/>
      <c r="E64" s="38">
        <v>2843</v>
      </c>
      <c r="F64" s="37"/>
      <c r="G64" s="38">
        <v>2824</v>
      </c>
      <c r="H64" s="37"/>
      <c r="I64" s="38">
        <v>4413</v>
      </c>
      <c r="J64" s="37"/>
      <c r="K64" s="38">
        <v>11989</v>
      </c>
      <c r="L64" s="37"/>
      <c r="M64" s="38"/>
      <c r="N64" s="37"/>
      <c r="O64" s="38">
        <v>3921</v>
      </c>
      <c r="P64" s="37"/>
      <c r="Q64" s="19"/>
    </row>
    <row r="65" spans="1:17" ht="12.75" customHeight="1" thickTop="1">
      <c r="A65" s="20"/>
      <c r="B65" s="29"/>
      <c r="C65" s="37"/>
      <c r="D65" s="5"/>
      <c r="E65" s="37"/>
      <c r="F65" s="5"/>
      <c r="G65" s="37"/>
      <c r="H65" s="5"/>
      <c r="I65" s="37"/>
      <c r="J65" s="5"/>
      <c r="K65" s="37"/>
      <c r="L65" s="5"/>
      <c r="M65" s="37"/>
      <c r="N65" s="5"/>
      <c r="O65" s="37"/>
      <c r="P65" s="5"/>
      <c r="Q65" s="20"/>
    </row>
    <row r="66" spans="1:17" ht="12.75" customHeight="1">
      <c r="A66" s="20"/>
      <c r="B66" s="26"/>
      <c r="C66" s="39"/>
      <c r="D66" s="32"/>
      <c r="E66" s="39"/>
      <c r="F66" s="32"/>
      <c r="G66" s="39"/>
      <c r="H66" s="32"/>
      <c r="I66" s="39"/>
      <c r="J66" s="39" t="s">
        <v>20</v>
      </c>
      <c r="K66" s="39"/>
      <c r="L66" s="32" t="s">
        <v>59</v>
      </c>
      <c r="M66" s="39" t="s">
        <v>21</v>
      </c>
      <c r="N66" s="32"/>
      <c r="O66" s="39">
        <v>1139933</v>
      </c>
      <c r="P66" s="32"/>
      <c r="Q66" s="20"/>
    </row>
    <row r="67" spans="1:17" ht="12.75" customHeight="1">
      <c r="A67" s="20"/>
      <c r="B67" s="26"/>
      <c r="C67" s="39"/>
      <c r="D67" s="32"/>
      <c r="E67" s="39"/>
      <c r="F67" s="32"/>
      <c r="G67" s="39"/>
      <c r="H67" s="32"/>
      <c r="I67" s="39"/>
      <c r="J67" s="39" t="s">
        <v>20</v>
      </c>
      <c r="K67" s="39"/>
      <c r="L67" s="32" t="s">
        <v>55</v>
      </c>
      <c r="M67" s="39" t="s">
        <v>21</v>
      </c>
      <c r="N67" s="32"/>
      <c r="O67" s="39">
        <v>1164609</v>
      </c>
      <c r="P67" s="32"/>
      <c r="Q67" s="20"/>
    </row>
    <row r="68" spans="1:17" ht="12" customHeight="1">
      <c r="A68" s="20"/>
      <c r="B68" s="26"/>
      <c r="C68" s="39"/>
      <c r="D68" s="32"/>
      <c r="E68" s="39"/>
      <c r="F68" s="32"/>
      <c r="G68" s="39"/>
      <c r="H68" s="32"/>
      <c r="I68" s="39"/>
      <c r="J68" s="32"/>
      <c r="K68" s="39"/>
      <c r="L68" s="32"/>
      <c r="M68" s="39"/>
      <c r="N68" s="32"/>
      <c r="O68" s="39"/>
      <c r="P68" s="32"/>
      <c r="Q68" s="20"/>
    </row>
    <row r="69" spans="1:17" ht="12" customHeight="1">
      <c r="A69" s="20"/>
      <c r="B69" s="26"/>
      <c r="C69" s="39"/>
      <c r="D69" s="39"/>
      <c r="E69" s="39"/>
      <c r="F69" s="32"/>
      <c r="G69" s="39"/>
      <c r="H69" s="32"/>
      <c r="I69" s="39"/>
      <c r="J69" s="32"/>
      <c r="K69" s="39"/>
      <c r="L69" s="32"/>
      <c r="M69" s="39"/>
      <c r="N69" s="32"/>
      <c r="O69" s="39"/>
      <c r="P69" s="32"/>
      <c r="Q69" s="20"/>
    </row>
    <row r="70" spans="1:17" ht="12" customHeight="1">
      <c r="A70" s="20"/>
      <c r="B70" s="26"/>
      <c r="C70" s="39"/>
      <c r="E70" s="39"/>
      <c r="F70" s="32"/>
      <c r="G70" s="39"/>
      <c r="H70" s="32"/>
      <c r="I70" s="39"/>
      <c r="J70" s="32"/>
      <c r="K70" s="39"/>
      <c r="L70" s="32"/>
      <c r="M70" s="39"/>
      <c r="N70" s="32"/>
      <c r="O70" s="39"/>
      <c r="P70" s="32"/>
      <c r="Q70" s="20"/>
    </row>
    <row r="71" spans="1:17" ht="15">
      <c r="A71" s="20"/>
      <c r="B71" s="26"/>
      <c r="C71" s="39"/>
      <c r="E71" s="39"/>
      <c r="F71" s="32"/>
      <c r="G71" s="39"/>
      <c r="H71" s="32"/>
      <c r="I71" s="39"/>
      <c r="J71" s="32"/>
      <c r="K71" s="39"/>
      <c r="L71" s="32"/>
      <c r="M71" s="39"/>
      <c r="N71" s="32"/>
      <c r="O71" s="39"/>
      <c r="P71" s="32"/>
      <c r="Q71" s="20"/>
    </row>
    <row r="72" spans="1:17" ht="15">
      <c r="A72" s="20"/>
      <c r="B72" s="26"/>
      <c r="C72" s="39"/>
      <c r="E72" s="39"/>
      <c r="F72" s="32"/>
      <c r="G72" s="39"/>
      <c r="H72" s="32"/>
      <c r="I72" s="39"/>
      <c r="J72" s="32"/>
      <c r="K72" s="39"/>
      <c r="L72" s="32"/>
      <c r="M72" s="39"/>
      <c r="N72" s="32"/>
      <c r="O72" s="39"/>
      <c r="P72" s="32"/>
      <c r="Q72" s="20"/>
    </row>
    <row r="73" spans="1:17" ht="15">
      <c r="A73" s="20"/>
      <c r="B73" s="26"/>
      <c r="C73" s="39"/>
      <c r="E73" s="39"/>
      <c r="F73" s="32"/>
      <c r="G73" s="39"/>
      <c r="H73" s="32"/>
      <c r="I73" s="39"/>
      <c r="J73" s="32"/>
      <c r="K73" s="39"/>
      <c r="L73" s="32"/>
      <c r="M73" s="39"/>
      <c r="N73" s="32"/>
      <c r="O73" s="39"/>
      <c r="P73" s="32"/>
      <c r="Q73" s="20"/>
    </row>
    <row r="74" spans="1:17" ht="15">
      <c r="A74" s="20"/>
      <c r="B74" s="26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32"/>
      <c r="Q74" s="20"/>
    </row>
    <row r="75" spans="1:17" ht="15">
      <c r="A75" s="20"/>
      <c r="B75" s="26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32"/>
      <c r="Q75" s="20"/>
    </row>
    <row r="76" spans="1:17" ht="15">
      <c r="A76" s="20"/>
      <c r="B76" s="26"/>
      <c r="C76" s="31"/>
      <c r="D76" s="32"/>
      <c r="E76" s="31"/>
      <c r="F76" s="32"/>
      <c r="G76" s="31"/>
      <c r="H76" s="32"/>
      <c r="I76" s="31"/>
      <c r="J76" s="32"/>
      <c r="K76" s="31"/>
      <c r="L76" s="32"/>
      <c r="M76" s="31"/>
      <c r="N76" s="32"/>
      <c r="O76" s="31"/>
      <c r="P76" s="32"/>
      <c r="Q76" s="20"/>
    </row>
    <row r="77" spans="3:15" ht="15">
      <c r="C77" s="44"/>
      <c r="E77" s="44"/>
      <c r="G77" s="44"/>
      <c r="I77" s="44"/>
      <c r="K77" s="44"/>
      <c r="M77" s="44"/>
      <c r="O77" s="44"/>
    </row>
    <row r="78" spans="3:15" ht="15">
      <c r="C78" s="44"/>
      <c r="E78" s="44"/>
      <c r="G78" s="44"/>
      <c r="I78" s="44"/>
      <c r="K78" s="44"/>
      <c r="M78" s="44"/>
      <c r="O78" s="44"/>
    </row>
    <row r="79" spans="3:15" ht="15">
      <c r="C79" s="44"/>
      <c r="E79" s="44"/>
      <c r="G79" s="44"/>
      <c r="I79" s="44"/>
      <c r="K79" s="44"/>
      <c r="M79" s="44"/>
      <c r="O79" s="44"/>
    </row>
    <row r="80" spans="3:15" ht="15">
      <c r="C80" s="44"/>
      <c r="E80" s="44"/>
      <c r="G80" s="44"/>
      <c r="I80" s="44"/>
      <c r="K80" s="44"/>
      <c r="M80" s="44"/>
      <c r="O80" s="44"/>
    </row>
    <row r="81" spans="3:15" ht="15">
      <c r="C81" s="44"/>
      <c r="E81" s="44"/>
      <c r="G81" s="44"/>
      <c r="I81" s="44"/>
      <c r="K81" s="44"/>
      <c r="M81" s="44"/>
      <c r="O81" s="44"/>
    </row>
    <row r="82" spans="3:15" ht="15">
      <c r="C82" s="44"/>
      <c r="E82" s="44"/>
      <c r="G82" s="44"/>
      <c r="I82" s="44"/>
      <c r="K82" s="44"/>
      <c r="M82" s="44"/>
      <c r="O82" s="44"/>
    </row>
    <row r="83" spans="3:15" ht="15">
      <c r="C83" s="44"/>
      <c r="E83" s="44"/>
      <c r="G83" s="44"/>
      <c r="I83" s="44"/>
      <c r="K83" s="44"/>
      <c r="M83" s="44"/>
      <c r="O83" s="44"/>
    </row>
    <row r="84" spans="3:15" ht="15">
      <c r="C84" s="44"/>
      <c r="E84" s="44"/>
      <c r="G84" s="44"/>
      <c r="I84" s="44"/>
      <c r="K84" s="44"/>
      <c r="M84" s="44"/>
      <c r="O84" s="44"/>
    </row>
    <row r="85" spans="3:15" ht="15">
      <c r="C85" s="44"/>
      <c r="E85" s="44"/>
      <c r="G85" s="44"/>
      <c r="I85" s="44"/>
      <c r="K85" s="44"/>
      <c r="M85" s="44"/>
      <c r="O85" s="44"/>
    </row>
    <row r="86" spans="3:15" ht="15">
      <c r="C86" s="44"/>
      <c r="E86" s="44"/>
      <c r="G86" s="44"/>
      <c r="I86" s="44"/>
      <c r="K86" s="44"/>
      <c r="M86" s="44"/>
      <c r="O86" s="44"/>
    </row>
    <row r="87" spans="3:15" ht="15">
      <c r="C87" s="44"/>
      <c r="E87" s="44"/>
      <c r="G87" s="44"/>
      <c r="I87" s="44"/>
      <c r="K87" s="44"/>
      <c r="M87" s="44"/>
      <c r="O87" s="44"/>
    </row>
    <row r="88" spans="3:15" ht="15">
      <c r="C88" s="44"/>
      <c r="E88" s="44"/>
      <c r="G88" s="44"/>
      <c r="I88" s="44"/>
      <c r="K88" s="44"/>
      <c r="M88" s="44"/>
      <c r="O88" s="44"/>
    </row>
    <row r="89" spans="3:15" ht="15">
      <c r="C89" s="44"/>
      <c r="E89" s="44"/>
      <c r="G89" s="44"/>
      <c r="I89" s="44"/>
      <c r="K89" s="44"/>
      <c r="M89" s="44"/>
      <c r="O89" s="44"/>
    </row>
    <row r="90" spans="3:15" ht="15">
      <c r="C90" s="44"/>
      <c r="E90" s="44"/>
      <c r="G90" s="44"/>
      <c r="I90" s="44"/>
      <c r="K90" s="44"/>
      <c r="M90" s="44"/>
      <c r="O90" s="44"/>
    </row>
    <row r="91" spans="3:15" ht="15">
      <c r="C91" s="44"/>
      <c r="E91" s="44"/>
      <c r="G91" s="44"/>
      <c r="I91" s="44"/>
      <c r="K91" s="44"/>
      <c r="M91" s="44"/>
      <c r="O91" s="44"/>
    </row>
    <row r="92" spans="3:15" ht="15">
      <c r="C92" s="44"/>
      <c r="E92" s="44"/>
      <c r="G92" s="44"/>
      <c r="I92" s="44"/>
      <c r="K92" s="44"/>
      <c r="M92" s="44"/>
      <c r="O92" s="44"/>
    </row>
    <row r="93" spans="3:15" ht="15">
      <c r="C93" s="44"/>
      <c r="E93" s="44"/>
      <c r="G93" s="44"/>
      <c r="I93" s="44"/>
      <c r="K93" s="44"/>
      <c r="M93" s="44"/>
      <c r="O93" s="44"/>
    </row>
    <row r="94" spans="3:13" ht="15">
      <c r="C94" s="44"/>
      <c r="E94" s="45"/>
      <c r="G94" s="44"/>
      <c r="I94" s="44"/>
      <c r="K94" s="44"/>
      <c r="M94" s="44"/>
    </row>
    <row r="95" spans="3:13" ht="15">
      <c r="C95" s="44"/>
      <c r="E95" s="45"/>
      <c r="G95" s="44"/>
      <c r="I95" s="44"/>
      <c r="K95" s="44"/>
      <c r="M95" s="44"/>
    </row>
    <row r="96" spans="3:13" ht="15">
      <c r="C96" s="44"/>
      <c r="E96" s="45"/>
      <c r="G96" s="44"/>
      <c r="I96" s="44"/>
      <c r="K96" s="44"/>
      <c r="M96" s="44"/>
    </row>
    <row r="97" spans="3:13" ht="15">
      <c r="C97" s="44"/>
      <c r="E97" s="45"/>
      <c r="G97" s="44"/>
      <c r="I97" s="44"/>
      <c r="K97" s="44"/>
      <c r="M97" s="44"/>
    </row>
    <row r="98" spans="3:13" ht="15">
      <c r="C98" s="44"/>
      <c r="E98" s="45"/>
      <c r="G98" s="44"/>
      <c r="I98" s="44"/>
      <c r="K98" s="44"/>
      <c r="M98" s="44"/>
    </row>
    <row r="99" spans="3:13" ht="15">
      <c r="C99" s="44"/>
      <c r="E99" s="45"/>
      <c r="G99" s="44"/>
      <c r="I99" s="44"/>
      <c r="K99" s="44"/>
      <c r="M99" s="44"/>
    </row>
    <row r="100" spans="3:13" ht="15">
      <c r="C100" s="44"/>
      <c r="E100" s="45"/>
      <c r="G100" s="44"/>
      <c r="I100" s="44"/>
      <c r="K100" s="44"/>
      <c r="M100" s="44"/>
    </row>
    <row r="101" spans="3:13" ht="15">
      <c r="C101" s="44"/>
      <c r="E101" s="45"/>
      <c r="G101" s="44"/>
      <c r="I101" s="44"/>
      <c r="K101" s="44"/>
      <c r="M101" s="44"/>
    </row>
    <row r="102" spans="3:13" ht="15">
      <c r="C102" s="44"/>
      <c r="E102" s="45"/>
      <c r="G102" s="44"/>
      <c r="I102" s="44"/>
      <c r="K102" s="44"/>
      <c r="M102" s="44"/>
    </row>
    <row r="103" spans="3:13" ht="15">
      <c r="C103" s="44"/>
      <c r="E103" s="45"/>
      <c r="G103" s="44"/>
      <c r="I103" s="44"/>
      <c r="K103" s="44"/>
      <c r="M103" s="44"/>
    </row>
    <row r="104" spans="3:13" ht="15">
      <c r="C104" s="44"/>
      <c r="E104" s="45"/>
      <c r="G104" s="44"/>
      <c r="I104" s="44"/>
      <c r="K104" s="44"/>
      <c r="M104" s="44"/>
    </row>
    <row r="105" spans="3:13" ht="15">
      <c r="C105" s="45"/>
      <c r="E105" s="45"/>
      <c r="G105" s="44"/>
      <c r="I105" s="44"/>
      <c r="K105" s="44"/>
      <c r="M105" s="44"/>
    </row>
    <row r="106" spans="3:13" ht="15">
      <c r="C106" s="44"/>
      <c r="E106" s="44"/>
      <c r="G106" s="44"/>
      <c r="I106" s="44"/>
      <c r="K106" s="44"/>
      <c r="M106" s="44"/>
    </row>
    <row r="107" spans="3:13" ht="15">
      <c r="C107" s="44"/>
      <c r="E107" s="44"/>
      <c r="G107" s="44"/>
      <c r="I107" s="44"/>
      <c r="K107" s="44"/>
      <c r="M107" s="44"/>
    </row>
    <row r="108" spans="3:13" ht="15">
      <c r="C108" s="44"/>
      <c r="E108" s="44"/>
      <c r="G108" s="44"/>
      <c r="I108" s="44"/>
      <c r="K108" s="44"/>
      <c r="M108" s="44"/>
    </row>
    <row r="109" spans="3:13" ht="15">
      <c r="C109" s="44"/>
      <c r="E109" s="44"/>
      <c r="G109" s="44"/>
      <c r="I109" s="44"/>
      <c r="K109" s="44"/>
      <c r="M109" s="44"/>
    </row>
    <row r="110" spans="3:13" ht="15">
      <c r="C110" s="44"/>
      <c r="E110" s="44"/>
      <c r="G110" s="44"/>
      <c r="I110" s="44"/>
      <c r="K110" s="44"/>
      <c r="M110" s="44"/>
    </row>
    <row r="111" spans="3:13" ht="15">
      <c r="C111" s="44"/>
      <c r="E111" s="44"/>
      <c r="G111" s="44"/>
      <c r="I111" s="44"/>
      <c r="K111" s="44"/>
      <c r="M111" s="44"/>
    </row>
    <row r="112" spans="3:13" ht="15">
      <c r="C112" s="44"/>
      <c r="E112" s="44"/>
      <c r="G112" s="44"/>
      <c r="I112" s="44"/>
      <c r="K112" s="44"/>
      <c r="M112" s="44"/>
    </row>
    <row r="113" spans="3:13" ht="15">
      <c r="C113" s="44"/>
      <c r="E113" s="44"/>
      <c r="G113" s="44"/>
      <c r="I113" s="44"/>
      <c r="K113" s="44"/>
      <c r="M113" s="44"/>
    </row>
    <row r="114" spans="3:13" ht="15">
      <c r="C114" s="44"/>
      <c r="E114" s="44"/>
      <c r="G114" s="44"/>
      <c r="I114" s="44"/>
      <c r="K114" s="44"/>
      <c r="M114" s="44"/>
    </row>
    <row r="115" spans="3:13" ht="15">
      <c r="C115" s="44"/>
      <c r="E115" s="44"/>
      <c r="G115" s="44"/>
      <c r="I115" s="44"/>
      <c r="K115" s="44"/>
      <c r="M115" s="44"/>
    </row>
    <row r="116" spans="3:13" ht="15">
      <c r="C116" s="44"/>
      <c r="E116" s="44"/>
      <c r="G116" s="44"/>
      <c r="I116" s="44"/>
      <c r="K116" s="44"/>
      <c r="M116" s="44"/>
    </row>
    <row r="117" spans="3:13" ht="15">
      <c r="C117" s="44"/>
      <c r="E117" s="44"/>
      <c r="G117" s="44"/>
      <c r="I117" s="44"/>
      <c r="K117" s="44"/>
      <c r="M117" s="44"/>
    </row>
    <row r="118" spans="3:13" ht="15">
      <c r="C118" s="44"/>
      <c r="E118" s="44"/>
      <c r="G118" s="44"/>
      <c r="I118" s="44"/>
      <c r="K118" s="44"/>
      <c r="M118" s="44"/>
    </row>
    <row r="119" spans="3:13" ht="15">
      <c r="C119" s="44"/>
      <c r="E119" s="44"/>
      <c r="G119" s="44"/>
      <c r="I119" s="44"/>
      <c r="K119" s="44"/>
      <c r="M119" s="44"/>
    </row>
    <row r="120" spans="3:13" ht="15">
      <c r="C120" s="44"/>
      <c r="E120" s="44"/>
      <c r="G120" s="44"/>
      <c r="I120" s="44"/>
      <c r="K120" s="44"/>
      <c r="M120" s="44"/>
    </row>
    <row r="121" spans="3:13" ht="15">
      <c r="C121" s="44"/>
      <c r="E121" s="44"/>
      <c r="G121" s="44"/>
      <c r="I121" s="44"/>
      <c r="K121" s="44"/>
      <c r="M121" s="44"/>
    </row>
    <row r="122" spans="3:13" ht="15">
      <c r="C122" s="44"/>
      <c r="E122" s="44"/>
      <c r="G122" s="44"/>
      <c r="I122" s="44"/>
      <c r="K122" s="44"/>
      <c r="M122" s="44"/>
    </row>
    <row r="123" spans="3:13" ht="15">
      <c r="C123" s="44"/>
      <c r="E123" s="44"/>
      <c r="G123" s="44"/>
      <c r="I123" s="44"/>
      <c r="K123" s="44"/>
      <c r="M123" s="44"/>
    </row>
    <row r="124" spans="3:13" ht="15">
      <c r="C124" s="44"/>
      <c r="E124" s="44"/>
      <c r="G124" s="44"/>
      <c r="I124" s="44"/>
      <c r="K124" s="44"/>
      <c r="M124" s="44"/>
    </row>
    <row r="125" spans="3:13" ht="15">
      <c r="C125" s="44"/>
      <c r="E125" s="44"/>
      <c r="G125" s="44"/>
      <c r="I125" s="44"/>
      <c r="K125" s="44"/>
      <c r="M125" s="44"/>
    </row>
    <row r="126" spans="3:13" ht="15">
      <c r="C126" s="44"/>
      <c r="E126" s="44"/>
      <c r="G126" s="44"/>
      <c r="I126" s="44"/>
      <c r="K126" s="44"/>
      <c r="M126" s="44"/>
    </row>
    <row r="127" spans="3:13" ht="15">
      <c r="C127" s="44"/>
      <c r="E127" s="44"/>
      <c r="G127" s="44"/>
      <c r="I127" s="44"/>
      <c r="K127" s="44"/>
      <c r="M127" s="44"/>
    </row>
    <row r="128" spans="3:13" ht="15">
      <c r="C128" s="44"/>
      <c r="E128" s="44"/>
      <c r="G128" s="44"/>
      <c r="I128" s="44"/>
      <c r="K128" s="44"/>
      <c r="M128" s="44"/>
    </row>
    <row r="129" spans="3:13" ht="15">
      <c r="C129" s="44"/>
      <c r="E129" s="44"/>
      <c r="G129" s="44"/>
      <c r="I129" s="44"/>
      <c r="K129" s="44"/>
      <c r="M129" s="44"/>
    </row>
    <row r="130" spans="3:13" ht="15">
      <c r="C130" s="44"/>
      <c r="E130" s="44"/>
      <c r="G130" s="44"/>
      <c r="I130" s="44"/>
      <c r="K130" s="44"/>
      <c r="M130" s="44"/>
    </row>
    <row r="131" spans="3:13" ht="15">
      <c r="C131" s="44"/>
      <c r="E131" s="44"/>
      <c r="G131" s="44"/>
      <c r="I131" s="44"/>
      <c r="K131" s="44"/>
      <c r="M131" s="44"/>
    </row>
    <row r="132" spans="3:13" ht="15">
      <c r="C132" s="44"/>
      <c r="E132" s="44"/>
      <c r="G132" s="44"/>
      <c r="I132" s="44"/>
      <c r="K132" s="44"/>
      <c r="M132" s="44"/>
    </row>
    <row r="133" spans="3:13" ht="15">
      <c r="C133" s="44"/>
      <c r="E133" s="44"/>
      <c r="G133" s="44"/>
      <c r="I133" s="44"/>
      <c r="K133" s="44"/>
      <c r="M133" s="44"/>
    </row>
    <row r="134" spans="3:13" ht="15">
      <c r="C134" s="44"/>
      <c r="E134" s="44"/>
      <c r="G134" s="44"/>
      <c r="I134" s="44"/>
      <c r="K134" s="44"/>
      <c r="M134" s="44"/>
    </row>
    <row r="135" spans="3:13" ht="15">
      <c r="C135" s="44"/>
      <c r="E135" s="44"/>
      <c r="G135" s="44"/>
      <c r="I135" s="44"/>
      <c r="K135" s="44"/>
      <c r="M135" s="44"/>
    </row>
    <row r="136" spans="3:13" ht="15">
      <c r="C136" s="44"/>
      <c r="E136" s="44"/>
      <c r="G136" s="44"/>
      <c r="I136" s="44"/>
      <c r="K136" s="44"/>
      <c r="M136" s="44"/>
    </row>
    <row r="137" spans="3:13" ht="15">
      <c r="C137" s="44"/>
      <c r="E137" s="44"/>
      <c r="G137" s="44"/>
      <c r="I137" s="44"/>
      <c r="K137" s="44"/>
      <c r="M137" s="44"/>
    </row>
    <row r="138" spans="3:13" ht="15">
      <c r="C138" s="44"/>
      <c r="E138" s="44"/>
      <c r="G138" s="44"/>
      <c r="I138" s="44"/>
      <c r="K138" s="44"/>
      <c r="M138" s="44"/>
    </row>
    <row r="139" spans="3:13" ht="15">
      <c r="C139" s="44"/>
      <c r="E139" s="44"/>
      <c r="G139" s="44"/>
      <c r="I139" s="44"/>
      <c r="K139" s="44"/>
      <c r="M139" s="44"/>
    </row>
    <row r="140" spans="3:13" ht="15">
      <c r="C140" s="44"/>
      <c r="E140" s="44"/>
      <c r="G140" s="44"/>
      <c r="I140" s="44"/>
      <c r="K140" s="44"/>
      <c r="M140" s="44"/>
    </row>
    <row r="141" spans="3:13" ht="15">
      <c r="C141" s="44"/>
      <c r="E141" s="44"/>
      <c r="G141" s="44"/>
      <c r="I141" s="44"/>
      <c r="K141" s="44"/>
      <c r="M141" s="44"/>
    </row>
    <row r="142" spans="3:13" ht="15">
      <c r="C142" s="44"/>
      <c r="E142" s="44"/>
      <c r="G142" s="44"/>
      <c r="I142" s="44"/>
      <c r="K142" s="44"/>
      <c r="M142" s="44"/>
    </row>
    <row r="143" spans="3:13" ht="15">
      <c r="C143" s="44"/>
      <c r="E143" s="44"/>
      <c r="G143" s="44"/>
      <c r="I143" s="44"/>
      <c r="K143" s="44"/>
      <c r="M143" s="44"/>
    </row>
    <row r="144" spans="3:13" ht="15">
      <c r="C144" s="44"/>
      <c r="E144" s="44"/>
      <c r="G144" s="44"/>
      <c r="I144" s="44"/>
      <c r="K144" s="44"/>
      <c r="M144" s="44"/>
    </row>
    <row r="145" spans="3:13" ht="15">
      <c r="C145" s="44"/>
      <c r="E145" s="44"/>
      <c r="G145" s="44"/>
      <c r="I145" s="44"/>
      <c r="K145" s="44"/>
      <c r="M145" s="44"/>
    </row>
    <row r="146" spans="3:13" ht="15">
      <c r="C146" s="44"/>
      <c r="E146" s="44"/>
      <c r="G146" s="44"/>
      <c r="I146" s="44"/>
      <c r="K146" s="44"/>
      <c r="M146" s="44"/>
    </row>
    <row r="147" spans="3:13" ht="15">
      <c r="C147" s="44"/>
      <c r="E147" s="44"/>
      <c r="G147" s="44"/>
      <c r="I147" s="44"/>
      <c r="K147" s="44"/>
      <c r="M147" s="44"/>
    </row>
    <row r="148" spans="3:13" ht="15">
      <c r="C148" s="44"/>
      <c r="E148" s="44"/>
      <c r="G148" s="44"/>
      <c r="I148" s="44"/>
      <c r="K148" s="44"/>
      <c r="M148" s="44"/>
    </row>
    <row r="149" spans="3:13" ht="15">
      <c r="C149" s="44"/>
      <c r="E149" s="44"/>
      <c r="G149" s="44"/>
      <c r="I149" s="44"/>
      <c r="K149" s="44"/>
      <c r="M149" s="44"/>
    </row>
    <row r="150" spans="3:13" ht="15">
      <c r="C150" s="44"/>
      <c r="E150" s="44"/>
      <c r="G150" s="44"/>
      <c r="I150" s="44"/>
      <c r="K150" s="44"/>
      <c r="M150" s="44"/>
    </row>
    <row r="151" spans="3:13" ht="15">
      <c r="C151" s="44"/>
      <c r="E151" s="44"/>
      <c r="G151" s="44"/>
      <c r="I151" s="44"/>
      <c r="K151" s="44"/>
      <c r="M151" s="44"/>
    </row>
    <row r="152" spans="3:13" ht="15">
      <c r="C152" s="44"/>
      <c r="E152" s="44"/>
      <c r="G152" s="44"/>
      <c r="I152" s="44"/>
      <c r="K152" s="44"/>
      <c r="M152" s="44"/>
    </row>
    <row r="153" spans="3:13" ht="15">
      <c r="C153" s="44"/>
      <c r="E153" s="44"/>
      <c r="G153" s="44"/>
      <c r="I153" s="44"/>
      <c r="K153" s="44"/>
      <c r="M153" s="44"/>
    </row>
    <row r="154" spans="3:13" ht="15">
      <c r="C154" s="44"/>
      <c r="E154" s="44"/>
      <c r="G154" s="44"/>
      <c r="I154" s="44"/>
      <c r="K154" s="44"/>
      <c r="M154" s="44"/>
    </row>
    <row r="155" spans="3:13" ht="15">
      <c r="C155" s="44"/>
      <c r="E155" s="44"/>
      <c r="G155" s="44"/>
      <c r="I155" s="44"/>
      <c r="K155" s="44"/>
      <c r="M155" s="44"/>
    </row>
    <row r="156" spans="3:13" ht="15">
      <c r="C156" s="44"/>
      <c r="E156" s="44"/>
      <c r="G156" s="44"/>
      <c r="I156" s="44"/>
      <c r="K156" s="44"/>
      <c r="M156" s="44"/>
    </row>
    <row r="157" spans="3:13" ht="15">
      <c r="C157" s="44"/>
      <c r="E157" s="44"/>
      <c r="G157" s="44"/>
      <c r="I157" s="44"/>
      <c r="K157" s="44"/>
      <c r="M157" s="44"/>
    </row>
    <row r="158" spans="3:13" ht="15">
      <c r="C158" s="44"/>
      <c r="E158" s="44"/>
      <c r="G158" s="44"/>
      <c r="I158" s="44"/>
      <c r="K158" s="44"/>
      <c r="M158" s="44"/>
    </row>
    <row r="159" spans="3:13" ht="15">
      <c r="C159" s="44"/>
      <c r="E159" s="44"/>
      <c r="G159" s="44"/>
      <c r="I159" s="44"/>
      <c r="K159" s="44"/>
      <c r="M159" s="44"/>
    </row>
    <row r="160" spans="3:13" ht="15">
      <c r="C160" s="44"/>
      <c r="E160" s="44"/>
      <c r="G160" s="44"/>
      <c r="I160" s="44"/>
      <c r="K160" s="44"/>
      <c r="M160" s="44"/>
    </row>
    <row r="161" spans="3:13" ht="15">
      <c r="C161" s="44"/>
      <c r="E161" s="44"/>
      <c r="G161" s="44"/>
      <c r="I161" s="44"/>
      <c r="K161" s="44"/>
      <c r="M161" s="44"/>
    </row>
    <row r="162" spans="3:13" ht="15">
      <c r="C162" s="44"/>
      <c r="E162" s="44"/>
      <c r="G162" s="44"/>
      <c r="I162" s="44"/>
      <c r="K162" s="44"/>
      <c r="M162" s="44"/>
    </row>
    <row r="163" spans="3:13" ht="15">
      <c r="C163" s="44"/>
      <c r="E163" s="44"/>
      <c r="G163" s="44"/>
      <c r="I163" s="44"/>
      <c r="K163" s="44"/>
      <c r="M163" s="44"/>
    </row>
    <row r="164" spans="3:13" ht="15">
      <c r="C164" s="44"/>
      <c r="E164" s="44"/>
      <c r="G164" s="44"/>
      <c r="I164" s="44"/>
      <c r="K164" s="44"/>
      <c r="M164" s="44"/>
    </row>
    <row r="165" spans="3:13" ht="15">
      <c r="C165" s="44"/>
      <c r="E165" s="44"/>
      <c r="G165" s="44"/>
      <c r="I165" s="44"/>
      <c r="K165" s="44"/>
      <c r="M165" s="44"/>
    </row>
    <row r="166" spans="3:13" ht="15">
      <c r="C166" s="44"/>
      <c r="E166" s="44"/>
      <c r="G166" s="44"/>
      <c r="I166" s="44"/>
      <c r="K166" s="44"/>
      <c r="M166" s="44"/>
    </row>
    <row r="167" spans="3:13" ht="15">
      <c r="C167" s="44"/>
      <c r="E167" s="44"/>
      <c r="G167" s="44"/>
      <c r="I167" s="44"/>
      <c r="K167" s="44"/>
      <c r="M167" s="44"/>
    </row>
    <row r="168" spans="3:13" ht="15">
      <c r="C168" s="44"/>
      <c r="E168" s="44"/>
      <c r="G168" s="44"/>
      <c r="I168" s="44"/>
      <c r="K168" s="44"/>
      <c r="M168" s="44"/>
    </row>
    <row r="169" spans="3:13" ht="15">
      <c r="C169" s="44"/>
      <c r="E169" s="44"/>
      <c r="G169" s="44"/>
      <c r="I169" s="44"/>
      <c r="K169" s="44"/>
      <c r="M169" s="44"/>
    </row>
    <row r="170" spans="3:13" ht="15">
      <c r="C170" s="44"/>
      <c r="E170" s="44"/>
      <c r="G170" s="44"/>
      <c r="I170" s="44"/>
      <c r="K170" s="44"/>
      <c r="M170" s="44"/>
    </row>
    <row r="171" spans="3:13" ht="15">
      <c r="C171" s="44"/>
      <c r="E171" s="44"/>
      <c r="G171" s="44"/>
      <c r="I171" s="44"/>
      <c r="K171" s="44"/>
      <c r="M171" s="44"/>
    </row>
    <row r="172" spans="3:13" ht="15">
      <c r="C172" s="44"/>
      <c r="E172" s="44"/>
      <c r="G172" s="44"/>
      <c r="I172" s="44"/>
      <c r="K172" s="44"/>
      <c r="M172" s="44"/>
    </row>
    <row r="173" spans="3:13" ht="15">
      <c r="C173" s="44"/>
      <c r="E173" s="44"/>
      <c r="G173" s="44"/>
      <c r="I173" s="44"/>
      <c r="K173" s="44"/>
      <c r="M173" s="44"/>
    </row>
    <row r="174" spans="3:13" ht="15">
      <c r="C174" s="44"/>
      <c r="E174" s="44"/>
      <c r="G174" s="44"/>
      <c r="I174" s="44"/>
      <c r="K174" s="44"/>
      <c r="M174" s="44"/>
    </row>
    <row r="175" spans="3:13" ht="15">
      <c r="C175" s="44"/>
      <c r="E175" s="44"/>
      <c r="G175" s="44"/>
      <c r="I175" s="44"/>
      <c r="K175" s="44"/>
      <c r="M175" s="44"/>
    </row>
    <row r="176" spans="3:13" ht="15">
      <c r="C176" s="44"/>
      <c r="E176" s="44"/>
      <c r="G176" s="44"/>
      <c r="I176" s="44"/>
      <c r="K176" s="44"/>
      <c r="M176" s="44"/>
    </row>
    <row r="177" spans="3:13" ht="15">
      <c r="C177" s="44"/>
      <c r="E177" s="44"/>
      <c r="G177" s="44"/>
      <c r="I177" s="44"/>
      <c r="K177" s="44"/>
      <c r="M177" s="44"/>
    </row>
    <row r="178" spans="3:13" ht="15">
      <c r="C178" s="44"/>
      <c r="E178" s="44"/>
      <c r="G178" s="44"/>
      <c r="I178" s="44"/>
      <c r="K178" s="44"/>
      <c r="M178" s="44"/>
    </row>
    <row r="179" spans="3:13" ht="15">
      <c r="C179" s="44"/>
      <c r="E179" s="44"/>
      <c r="G179" s="44"/>
      <c r="I179" s="44"/>
      <c r="K179" s="44"/>
      <c r="M179" s="44"/>
    </row>
    <row r="180" spans="3:13" ht="15">
      <c r="C180" s="44"/>
      <c r="E180" s="44"/>
      <c r="G180" s="44"/>
      <c r="I180" s="44"/>
      <c r="K180" s="44"/>
      <c r="M180" s="44"/>
    </row>
    <row r="181" spans="3:13" ht="15">
      <c r="C181" s="44"/>
      <c r="E181" s="44"/>
      <c r="G181" s="44"/>
      <c r="I181" s="44"/>
      <c r="K181" s="44"/>
      <c r="M181" s="44"/>
    </row>
    <row r="182" spans="3:13" ht="15">
      <c r="C182" s="44"/>
      <c r="E182" s="44"/>
      <c r="G182" s="44"/>
      <c r="I182" s="44"/>
      <c r="K182" s="44"/>
      <c r="M182" s="44"/>
    </row>
    <row r="183" spans="3:13" ht="15">
      <c r="C183" s="44"/>
      <c r="E183" s="44"/>
      <c r="G183" s="44"/>
      <c r="I183" s="44"/>
      <c r="K183" s="44"/>
      <c r="M183" s="44"/>
    </row>
    <row r="184" spans="3:13" ht="15">
      <c r="C184" s="44"/>
      <c r="E184" s="44"/>
      <c r="G184" s="44"/>
      <c r="I184" s="44"/>
      <c r="K184" s="44"/>
      <c r="M184" s="44"/>
    </row>
    <row r="185" spans="3:13" ht="15">
      <c r="C185" s="44"/>
      <c r="E185" s="44"/>
      <c r="G185" s="44"/>
      <c r="I185" s="44"/>
      <c r="K185" s="44"/>
      <c r="M185" s="44"/>
    </row>
    <row r="186" spans="3:13" ht="15">
      <c r="C186" s="44"/>
      <c r="E186" s="44"/>
      <c r="G186" s="44"/>
      <c r="I186" s="44"/>
      <c r="K186" s="44"/>
      <c r="M186" s="44"/>
    </row>
    <row r="187" spans="3:13" ht="15">
      <c r="C187" s="44"/>
      <c r="E187" s="44"/>
      <c r="G187" s="44"/>
      <c r="I187" s="44"/>
      <c r="K187" s="44"/>
      <c r="M187" s="44"/>
    </row>
    <row r="188" spans="3:13" ht="15">
      <c r="C188" s="44"/>
      <c r="E188" s="44"/>
      <c r="G188" s="44"/>
      <c r="I188" s="44"/>
      <c r="K188" s="44"/>
      <c r="M188" s="44"/>
    </row>
    <row r="189" spans="3:13" ht="15">
      <c r="C189" s="44"/>
      <c r="E189" s="44"/>
      <c r="G189" s="44"/>
      <c r="I189" s="44"/>
      <c r="K189" s="44"/>
      <c r="M189" s="44"/>
    </row>
    <row r="190" spans="3:13" ht="15">
      <c r="C190" s="44"/>
      <c r="E190" s="44"/>
      <c r="G190" s="44"/>
      <c r="I190" s="44"/>
      <c r="K190" s="44"/>
      <c r="M190" s="44"/>
    </row>
    <row r="191" spans="3:13" ht="15">
      <c r="C191" s="44"/>
      <c r="E191" s="44"/>
      <c r="G191" s="44"/>
      <c r="I191" s="44"/>
      <c r="K191" s="44"/>
      <c r="M191" s="44"/>
    </row>
    <row r="192" spans="3:13" ht="15">
      <c r="C192" s="44"/>
      <c r="E192" s="44"/>
      <c r="G192" s="44"/>
      <c r="I192" s="44"/>
      <c r="K192" s="44"/>
      <c r="M192" s="44"/>
    </row>
    <row r="193" spans="3:5" ht="15">
      <c r="C193" s="45"/>
      <c r="E193" s="45"/>
    </row>
    <row r="194" spans="3:5" ht="15">
      <c r="C194" s="45"/>
      <c r="E194" s="45"/>
    </row>
    <row r="195" spans="3:5" ht="15">
      <c r="C195" s="45"/>
      <c r="E195" s="45"/>
    </row>
    <row r="196" spans="3:5" ht="15">
      <c r="C196" s="45"/>
      <c r="E196" s="45"/>
    </row>
    <row r="197" spans="3:5" ht="15">
      <c r="C197" s="45"/>
      <c r="E197" s="45"/>
    </row>
    <row r="198" spans="3:5" ht="15">
      <c r="C198" s="45"/>
      <c r="E198" s="45"/>
    </row>
    <row r="199" spans="3:5" ht="15">
      <c r="C199" s="45"/>
      <c r="E199" s="45"/>
    </row>
    <row r="200" spans="3:5" ht="15">
      <c r="C200" s="45"/>
      <c r="E200" s="45"/>
    </row>
    <row r="201" spans="3:5" ht="15">
      <c r="C201" s="45"/>
      <c r="E201" s="45"/>
    </row>
    <row r="202" spans="3:5" ht="15">
      <c r="C202" s="45"/>
      <c r="E202" s="45"/>
    </row>
    <row r="203" spans="3:5" ht="15">
      <c r="C203" s="45"/>
      <c r="E203" s="45"/>
    </row>
    <row r="204" spans="3:5" ht="15">
      <c r="C204" s="45"/>
      <c r="E204" s="45"/>
    </row>
    <row r="205" spans="3:5" ht="15">
      <c r="C205" s="45"/>
      <c r="E205" s="45"/>
    </row>
    <row r="206" spans="3:5" ht="15">
      <c r="C206" s="45"/>
      <c r="E206" s="45"/>
    </row>
    <row r="207" spans="3:5" ht="15">
      <c r="C207" s="45"/>
      <c r="E207" s="45"/>
    </row>
    <row r="208" spans="3:5" ht="15">
      <c r="C208" s="45"/>
      <c r="E208" s="45"/>
    </row>
    <row r="209" spans="3:5" ht="15">
      <c r="C209" s="45"/>
      <c r="E209" s="45"/>
    </row>
    <row r="210" spans="3:5" ht="15">
      <c r="C210" s="45"/>
      <c r="E210" s="45"/>
    </row>
    <row r="211" spans="3:5" ht="15">
      <c r="C211" s="45"/>
      <c r="E211" s="45"/>
    </row>
    <row r="212" spans="3:5" ht="15">
      <c r="C212" s="45"/>
      <c r="E212" s="45"/>
    </row>
    <row r="213" spans="3:5" ht="15">
      <c r="C213" s="45"/>
      <c r="E213" s="45"/>
    </row>
    <row r="214" spans="3:5" ht="15">
      <c r="C214" s="45"/>
      <c r="E214" s="45"/>
    </row>
    <row r="215" spans="3:5" ht="15">
      <c r="C215" s="45"/>
      <c r="E215" s="45"/>
    </row>
    <row r="216" spans="3:5" ht="15">
      <c r="C216" s="45"/>
      <c r="E216" s="45"/>
    </row>
    <row r="217" spans="3:5" ht="15">
      <c r="C217" s="45"/>
      <c r="E217" s="45"/>
    </row>
    <row r="218" spans="3:5" ht="15">
      <c r="C218" s="45"/>
      <c r="E218" s="45"/>
    </row>
    <row r="219" spans="3:5" ht="15">
      <c r="C219" s="45"/>
      <c r="E219" s="45"/>
    </row>
    <row r="220" spans="3:5" ht="15">
      <c r="C220" s="45"/>
      <c r="E220" s="45"/>
    </row>
    <row r="221" spans="3:5" ht="15">
      <c r="C221" s="45"/>
      <c r="E221" s="45"/>
    </row>
    <row r="222" spans="3:5" ht="15">
      <c r="C222" s="45"/>
      <c r="E222" s="45"/>
    </row>
    <row r="223" spans="3:5" ht="15">
      <c r="C223" s="45"/>
      <c r="E223" s="45"/>
    </row>
    <row r="224" spans="3:5" ht="15">
      <c r="C224" s="45"/>
      <c r="E224" s="45"/>
    </row>
    <row r="225" spans="3:5" ht="15">
      <c r="C225" s="45"/>
      <c r="E225" s="45"/>
    </row>
    <row r="226" spans="3:5" ht="15">
      <c r="C226" s="45"/>
      <c r="E226" s="45"/>
    </row>
    <row r="227" spans="3:5" ht="15">
      <c r="C227" s="45"/>
      <c r="E227" s="45"/>
    </row>
    <row r="228" spans="3:5" ht="15">
      <c r="C228" s="45"/>
      <c r="E228" s="45"/>
    </row>
    <row r="229" spans="3:5" ht="15">
      <c r="C229" s="45"/>
      <c r="E229" s="45"/>
    </row>
    <row r="230" spans="3:5" ht="15">
      <c r="C230" s="45"/>
      <c r="E230" s="45"/>
    </row>
    <row r="231" spans="3:5" ht="15">
      <c r="C231" s="45"/>
      <c r="E231" s="45"/>
    </row>
    <row r="232" spans="3:5" ht="15">
      <c r="C232" s="45"/>
      <c r="E232" s="45"/>
    </row>
    <row r="233" spans="3:5" ht="15">
      <c r="C233" s="45"/>
      <c r="E233" s="45"/>
    </row>
    <row r="234" spans="3:5" ht="15">
      <c r="C234" s="45"/>
      <c r="E234" s="45"/>
    </row>
    <row r="235" spans="3:5" ht="15">
      <c r="C235" s="45"/>
      <c r="E235" s="45"/>
    </row>
    <row r="236" spans="3:5" ht="15">
      <c r="C236" s="45"/>
      <c r="E236" s="45"/>
    </row>
    <row r="237" spans="3:5" ht="15">
      <c r="C237" s="45"/>
      <c r="E237" s="45"/>
    </row>
    <row r="238" spans="3:5" ht="15">
      <c r="C238" s="45"/>
      <c r="E238" s="45"/>
    </row>
    <row r="239" spans="3:5" ht="15">
      <c r="C239" s="45"/>
      <c r="E239" s="45"/>
    </row>
    <row r="240" spans="3:5" ht="15">
      <c r="C240" s="45"/>
      <c r="E240" s="45"/>
    </row>
    <row r="241" spans="3:5" ht="15">
      <c r="C241" s="45"/>
      <c r="E241" s="45"/>
    </row>
    <row r="242" spans="3:5" ht="15">
      <c r="C242" s="45"/>
      <c r="E242" s="45"/>
    </row>
    <row r="243" spans="3:5" ht="15">
      <c r="C243" s="45"/>
      <c r="E243" s="45"/>
    </row>
    <row r="244" spans="3:5" ht="15">
      <c r="C244" s="45"/>
      <c r="E244" s="45"/>
    </row>
    <row r="245" spans="3:5" ht="15">
      <c r="C245" s="45"/>
      <c r="E245" s="45"/>
    </row>
    <row r="246" spans="3:5" ht="15">
      <c r="C246" s="45"/>
      <c r="E246" s="45"/>
    </row>
    <row r="247" spans="3:5" ht="15">
      <c r="C247" s="45"/>
      <c r="E247" s="45"/>
    </row>
    <row r="248" spans="3:5" ht="15">
      <c r="C248" s="45"/>
      <c r="E248" s="45"/>
    </row>
    <row r="249" spans="3:5" ht="15">
      <c r="C249" s="45"/>
      <c r="E249" s="45"/>
    </row>
    <row r="250" spans="3:5" ht="15">
      <c r="C250" s="45"/>
      <c r="E250" s="45"/>
    </row>
    <row r="251" spans="3:5" ht="15">
      <c r="C251" s="45"/>
      <c r="E251" s="45"/>
    </row>
    <row r="252" spans="3:5" ht="15">
      <c r="C252" s="45"/>
      <c r="E252" s="45"/>
    </row>
    <row r="253" spans="3:5" ht="15">
      <c r="C253" s="45"/>
      <c r="E253" s="45"/>
    </row>
    <row r="254" spans="3:5" ht="15">
      <c r="C254" s="45"/>
      <c r="E254" s="45"/>
    </row>
    <row r="255" spans="3:5" ht="15">
      <c r="C255" s="45"/>
      <c r="E255" s="45"/>
    </row>
    <row r="256" spans="3:5" ht="15">
      <c r="C256" s="45"/>
      <c r="E256" s="45"/>
    </row>
    <row r="257" spans="3:5" ht="15">
      <c r="C257" s="45"/>
      <c r="E257" s="45"/>
    </row>
    <row r="258" spans="3:5" ht="15">
      <c r="C258" s="45"/>
      <c r="E258" s="45"/>
    </row>
    <row r="259" spans="3:5" ht="15">
      <c r="C259" s="45"/>
      <c r="E259" s="45"/>
    </row>
    <row r="260" spans="3:5" ht="15">
      <c r="C260" s="45"/>
      <c r="E260" s="45"/>
    </row>
    <row r="261" spans="3:5" ht="15">
      <c r="C261" s="45"/>
      <c r="E261" s="45"/>
    </row>
    <row r="262" spans="3:5" ht="15">
      <c r="C262" s="45"/>
      <c r="E262" s="45"/>
    </row>
    <row r="263" spans="3:5" ht="15">
      <c r="C263" s="45"/>
      <c r="E263" s="45"/>
    </row>
    <row r="264" spans="3:5" ht="15">
      <c r="C264" s="45"/>
      <c r="E264" s="45"/>
    </row>
    <row r="265" spans="3:5" ht="15">
      <c r="C265" s="45"/>
      <c r="E265" s="45"/>
    </row>
    <row r="266" spans="3:5" ht="15">
      <c r="C266" s="45"/>
      <c r="E266" s="45"/>
    </row>
    <row r="267" spans="3:5" ht="15">
      <c r="C267" s="45"/>
      <c r="E267" s="45"/>
    </row>
    <row r="268" spans="3:5" ht="15">
      <c r="C268" s="45"/>
      <c r="E268" s="45"/>
    </row>
    <row r="269" spans="3:5" ht="15">
      <c r="C269" s="45"/>
      <c r="E269" s="45"/>
    </row>
    <row r="270" spans="3:5" ht="15">
      <c r="C270" s="45"/>
      <c r="E270" s="45"/>
    </row>
    <row r="271" spans="3:5" ht="15">
      <c r="C271" s="45"/>
      <c r="E271" s="45"/>
    </row>
    <row r="272" spans="3:5" ht="15">
      <c r="C272" s="45"/>
      <c r="E272" s="45"/>
    </row>
    <row r="273" spans="3:5" ht="15">
      <c r="C273" s="45"/>
      <c r="E273" s="45"/>
    </row>
    <row r="274" spans="3:5" ht="15">
      <c r="C274" s="45"/>
      <c r="E274" s="45"/>
    </row>
    <row r="275" spans="3:5" ht="15">
      <c r="C275" s="45"/>
      <c r="E275" s="45"/>
    </row>
    <row r="276" spans="3:5" ht="15">
      <c r="C276" s="45"/>
      <c r="E276" s="45"/>
    </row>
    <row r="277" spans="3:5" ht="15">
      <c r="C277" s="45"/>
      <c r="E277" s="45"/>
    </row>
    <row r="278" spans="3:5" ht="15">
      <c r="C278" s="45"/>
      <c r="E278" s="45"/>
    </row>
    <row r="279" spans="3:5" ht="15">
      <c r="C279" s="45"/>
      <c r="E279" s="45"/>
    </row>
    <row r="280" spans="3:5" ht="15">
      <c r="C280" s="45"/>
      <c r="E280" s="45"/>
    </row>
    <row r="281" spans="3:5" ht="15">
      <c r="C281" s="45"/>
      <c r="E281" s="45"/>
    </row>
    <row r="282" spans="3:5" ht="15">
      <c r="C282" s="45"/>
      <c r="E282" s="45"/>
    </row>
    <row r="283" spans="3:5" ht="15">
      <c r="C283" s="45"/>
      <c r="E283" s="45"/>
    </row>
    <row r="284" spans="3:5" ht="15">
      <c r="C284" s="45"/>
      <c r="E284" s="45"/>
    </row>
    <row r="285" spans="3:5" ht="15">
      <c r="C285" s="45"/>
      <c r="E285" s="45"/>
    </row>
    <row r="286" spans="3:5" ht="15">
      <c r="C286" s="45"/>
      <c r="E286" s="45"/>
    </row>
    <row r="287" spans="3:5" ht="15">
      <c r="C287" s="45"/>
      <c r="E287" s="45"/>
    </row>
    <row r="288" spans="3:5" ht="15">
      <c r="C288" s="45"/>
      <c r="E288" s="45"/>
    </row>
    <row r="289" spans="3:5" ht="15">
      <c r="C289" s="45"/>
      <c r="E289" s="45"/>
    </row>
    <row r="290" spans="3:5" ht="15">
      <c r="C290" s="45"/>
      <c r="E290" s="45"/>
    </row>
    <row r="291" spans="3:5" ht="15">
      <c r="C291" s="45"/>
      <c r="E291" s="45"/>
    </row>
    <row r="292" spans="3:5" ht="15">
      <c r="C292" s="45"/>
      <c r="E292" s="45"/>
    </row>
    <row r="293" spans="3:5" ht="15">
      <c r="C293" s="45"/>
      <c r="E293" s="45"/>
    </row>
    <row r="294" spans="3:5" ht="15">
      <c r="C294" s="45"/>
      <c r="E294" s="45"/>
    </row>
    <row r="295" spans="3:5" ht="15">
      <c r="C295" s="45"/>
      <c r="E295" s="45"/>
    </row>
    <row r="296" spans="3:5" ht="15">
      <c r="C296" s="45"/>
      <c r="E296" s="45"/>
    </row>
    <row r="297" spans="3:5" ht="15">
      <c r="C297" s="45"/>
      <c r="E297" s="45"/>
    </row>
    <row r="298" spans="3:5" ht="15">
      <c r="C298" s="45"/>
      <c r="E298" s="45"/>
    </row>
    <row r="299" spans="3:5" ht="15">
      <c r="C299" s="45"/>
      <c r="E299" s="45"/>
    </row>
    <row r="300" spans="3:5" ht="15">
      <c r="C300" s="45"/>
      <c r="E300" s="45"/>
    </row>
    <row r="301" spans="3:5" ht="15">
      <c r="C301" s="45"/>
      <c r="E301" s="45"/>
    </row>
    <row r="302" spans="3:5" ht="15">
      <c r="C302" s="45"/>
      <c r="E302" s="45"/>
    </row>
    <row r="303" spans="3:5" ht="15">
      <c r="C303" s="45"/>
      <c r="E303" s="45"/>
    </row>
    <row r="304" ht="15">
      <c r="C304" s="45"/>
    </row>
    <row r="305" ht="15">
      <c r="C305" s="45"/>
    </row>
    <row r="306" ht="15">
      <c r="C306" s="45"/>
    </row>
    <row r="307" ht="15">
      <c r="C307" s="45"/>
    </row>
    <row r="308" ht="15">
      <c r="C308" s="45"/>
    </row>
    <row r="309" ht="15">
      <c r="C309" s="45"/>
    </row>
    <row r="310" ht="15">
      <c r="C310" s="45"/>
    </row>
    <row r="311" ht="15">
      <c r="C311" s="45"/>
    </row>
    <row r="312" ht="15">
      <c r="C312" s="45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5"/>
    </row>
    <row r="321" ht="15">
      <c r="C321" s="45"/>
    </row>
    <row r="322" ht="15">
      <c r="C322" s="45"/>
    </row>
    <row r="323" ht="15">
      <c r="C323" s="45"/>
    </row>
    <row r="324" ht="15">
      <c r="C324" s="45"/>
    </row>
    <row r="325" ht="15">
      <c r="C325" s="45"/>
    </row>
    <row r="326" ht="15">
      <c r="C326" s="45"/>
    </row>
    <row r="327" ht="15">
      <c r="C327" s="45"/>
    </row>
    <row r="328" ht="15">
      <c r="C328" s="45"/>
    </row>
    <row r="329" ht="15">
      <c r="C329" s="45"/>
    </row>
    <row r="330" ht="15">
      <c r="C330" s="45"/>
    </row>
    <row r="331" ht="15">
      <c r="C331" s="45"/>
    </row>
    <row r="332" ht="15">
      <c r="C332" s="45"/>
    </row>
    <row r="333" ht="15">
      <c r="C333" s="45"/>
    </row>
    <row r="334" ht="15">
      <c r="C334" s="45"/>
    </row>
    <row r="335" ht="15">
      <c r="C335" s="45"/>
    </row>
    <row r="336" ht="15">
      <c r="C336" s="45"/>
    </row>
    <row r="337" ht="15">
      <c r="C337" s="45"/>
    </row>
    <row r="338" ht="15">
      <c r="C338" s="45"/>
    </row>
    <row r="339" ht="15">
      <c r="C339" s="45"/>
    </row>
    <row r="340" ht="15">
      <c r="C340" s="45"/>
    </row>
    <row r="341" ht="15">
      <c r="C341" s="45"/>
    </row>
    <row r="342" ht="15">
      <c r="C342" s="45"/>
    </row>
    <row r="343" ht="15">
      <c r="C343" s="45"/>
    </row>
    <row r="344" ht="15">
      <c r="C344" s="45"/>
    </row>
    <row r="345" ht="15">
      <c r="C345" s="45"/>
    </row>
    <row r="346" ht="15">
      <c r="C346" s="45"/>
    </row>
    <row r="347" ht="15">
      <c r="C347" s="45"/>
    </row>
    <row r="348" ht="15">
      <c r="C348" s="45"/>
    </row>
    <row r="349" ht="15">
      <c r="C349" s="45"/>
    </row>
    <row r="350" ht="15">
      <c r="C350" s="45"/>
    </row>
    <row r="351" ht="15">
      <c r="C351" s="45"/>
    </row>
    <row r="352" ht="15">
      <c r="C352" s="45"/>
    </row>
    <row r="353" ht="15">
      <c r="C353" s="45"/>
    </row>
    <row r="354" ht="15">
      <c r="C354" s="45"/>
    </row>
    <row r="355" ht="15">
      <c r="C355" s="45"/>
    </row>
    <row r="356" ht="15">
      <c r="C356" s="45"/>
    </row>
    <row r="357" ht="15">
      <c r="C357" s="45"/>
    </row>
    <row r="358" ht="15">
      <c r="C358" s="45"/>
    </row>
    <row r="359" ht="15">
      <c r="C359" s="45"/>
    </row>
    <row r="360" ht="15">
      <c r="C360" s="45"/>
    </row>
    <row r="361" ht="15">
      <c r="C361" s="45"/>
    </row>
    <row r="362" ht="15">
      <c r="C362" s="45"/>
    </row>
    <row r="363" ht="15">
      <c r="C363" s="45"/>
    </row>
    <row r="364" ht="15">
      <c r="C364" s="45"/>
    </row>
    <row r="365" ht="15">
      <c r="C365" s="45"/>
    </row>
    <row r="366" ht="15">
      <c r="C366" s="45"/>
    </row>
    <row r="367" ht="15">
      <c r="C367" s="45"/>
    </row>
    <row r="368" ht="15">
      <c r="C368" s="45"/>
    </row>
    <row r="369" ht="15">
      <c r="C369" s="45"/>
    </row>
    <row r="370" ht="15">
      <c r="C370" s="45"/>
    </row>
    <row r="371" ht="15">
      <c r="C371" s="45"/>
    </row>
    <row r="372" ht="15">
      <c r="C372" s="45"/>
    </row>
    <row r="373" ht="15">
      <c r="C373" s="45"/>
    </row>
    <row r="374" ht="15">
      <c r="C374" s="45"/>
    </row>
    <row r="375" ht="15">
      <c r="C375" s="45"/>
    </row>
    <row r="376" ht="15">
      <c r="C376" s="45"/>
    </row>
    <row r="377" ht="15">
      <c r="C377" s="45"/>
    </row>
    <row r="378" ht="15">
      <c r="C378" s="45"/>
    </row>
    <row r="379" ht="15">
      <c r="C379" s="45"/>
    </row>
    <row r="380" ht="15">
      <c r="C380" s="45"/>
    </row>
    <row r="381" ht="15">
      <c r="C381" s="45"/>
    </row>
    <row r="382" ht="15">
      <c r="C382" s="45"/>
    </row>
    <row r="383" ht="15">
      <c r="C383" s="45"/>
    </row>
    <row r="384" ht="15">
      <c r="C384" s="45"/>
    </row>
    <row r="385" ht="15">
      <c r="C385" s="45"/>
    </row>
    <row r="386" ht="15">
      <c r="C386" s="45"/>
    </row>
    <row r="387" ht="15">
      <c r="C387" s="45"/>
    </row>
    <row r="388" ht="15">
      <c r="C388" s="45"/>
    </row>
    <row r="389" ht="15">
      <c r="C389" s="45"/>
    </row>
    <row r="390" ht="15">
      <c r="C390" s="45"/>
    </row>
    <row r="391" ht="15">
      <c r="C391" s="45"/>
    </row>
    <row r="392" ht="15">
      <c r="C392" s="45"/>
    </row>
    <row r="393" ht="15">
      <c r="C393" s="45"/>
    </row>
    <row r="394" ht="15">
      <c r="C394" s="45"/>
    </row>
    <row r="395" ht="15">
      <c r="C395" s="45"/>
    </row>
    <row r="396" ht="15">
      <c r="C396" s="45"/>
    </row>
    <row r="397" ht="15">
      <c r="C397" s="45"/>
    </row>
    <row r="398" ht="15">
      <c r="C398" s="45"/>
    </row>
    <row r="399" ht="15">
      <c r="C399" s="45"/>
    </row>
    <row r="400" ht="15">
      <c r="C400" s="45"/>
    </row>
    <row r="401" ht="15">
      <c r="C401" s="45"/>
    </row>
    <row r="402" ht="15">
      <c r="C402" s="45"/>
    </row>
    <row r="403" ht="15">
      <c r="C403" s="45"/>
    </row>
    <row r="404" ht="15">
      <c r="C404" s="45"/>
    </row>
    <row r="405" ht="15">
      <c r="C405" s="45"/>
    </row>
    <row r="406" ht="15">
      <c r="C406" s="45"/>
    </row>
    <row r="407" ht="15">
      <c r="C407" s="45"/>
    </row>
    <row r="408" ht="15">
      <c r="C408" s="45"/>
    </row>
    <row r="409" ht="15">
      <c r="C409" s="45"/>
    </row>
    <row r="410" ht="15">
      <c r="C410" s="45"/>
    </row>
    <row r="411" ht="15">
      <c r="C411" s="45"/>
    </row>
    <row r="412" ht="15">
      <c r="C412" s="45"/>
    </row>
    <row r="413" ht="15">
      <c r="C413" s="45"/>
    </row>
    <row r="414" ht="15">
      <c r="C414" s="45"/>
    </row>
  </sheetData>
  <sheetProtection/>
  <printOptions/>
  <pageMargins left="0.48" right="0.24" top="0.87" bottom="0.48" header="0" footer="0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2"/>
  <sheetViews>
    <sheetView showGridLines="0" zoomScale="80" zoomScaleNormal="80" zoomScalePageLayoutView="0" workbookViewId="0" topLeftCell="A1">
      <selection activeCell="A1" sqref="A1:Q16384"/>
    </sheetView>
  </sheetViews>
  <sheetFormatPr defaultColWidth="7.99609375" defaultRowHeight="15"/>
  <cols>
    <col min="1" max="1" width="1.4375" style="0" customWidth="1"/>
    <col min="2" max="2" width="16.6640625" style="4" customWidth="1"/>
    <col min="3" max="3" width="9.21484375" style="0" customWidth="1"/>
    <col min="4" max="4" width="5.3359375" style="0" customWidth="1"/>
    <col min="5" max="5" width="6.88671875" style="0" customWidth="1"/>
    <col min="6" max="6" width="5.3359375" style="0" customWidth="1"/>
    <col min="7" max="7" width="6.88671875" style="0" customWidth="1"/>
    <col min="8" max="8" width="5.3359375" style="0" customWidth="1"/>
    <col min="9" max="9" width="6.88671875" style="0" customWidth="1"/>
    <col min="10" max="10" width="5.3359375" style="0" customWidth="1"/>
    <col min="11" max="11" width="7.77734375" style="0" customWidth="1"/>
    <col min="12" max="12" width="5.3359375" style="0" customWidth="1"/>
    <col min="13" max="13" width="6.88671875" style="0" customWidth="1"/>
    <col min="14" max="14" width="5.3359375" style="0" customWidth="1"/>
    <col min="15" max="15" width="8.77734375" style="0" customWidth="1"/>
    <col min="16" max="16" width="5.3359375" style="0" customWidth="1"/>
    <col min="17" max="17" width="2.21484375" style="0" customWidth="1"/>
  </cols>
  <sheetData>
    <row r="1" spans="1:18" ht="15">
      <c r="A1" s="20"/>
      <c r="B1" s="21"/>
      <c r="C1" s="22"/>
      <c r="D1" s="20"/>
      <c r="E1" s="22"/>
      <c r="F1" s="20" t="s">
        <v>54</v>
      </c>
      <c r="G1" s="22"/>
      <c r="H1" s="20"/>
      <c r="I1" s="22"/>
      <c r="J1" s="20"/>
      <c r="K1" s="22"/>
      <c r="L1" s="20"/>
      <c r="M1" s="22"/>
      <c r="N1" s="20"/>
      <c r="O1" s="20"/>
      <c r="P1" s="20"/>
      <c r="Q1" s="20"/>
      <c r="R1" s="20"/>
    </row>
    <row r="2" spans="1:18" ht="15.75" thickBot="1">
      <c r="A2" s="20"/>
      <c r="B2" s="21"/>
      <c r="C2" s="22"/>
      <c r="D2" s="20"/>
      <c r="E2" s="22"/>
      <c r="F2" s="20"/>
      <c r="G2" s="22"/>
      <c r="H2" s="20"/>
      <c r="I2" s="22"/>
      <c r="J2" s="20"/>
      <c r="K2" s="22"/>
      <c r="L2" s="20"/>
      <c r="M2" s="22"/>
      <c r="N2" s="20"/>
      <c r="O2" s="20"/>
      <c r="P2" s="20"/>
      <c r="Q2" s="20"/>
      <c r="R2" s="20"/>
    </row>
    <row r="3" spans="1:19" ht="16.5" thickBot="1" thickTop="1">
      <c r="A3" s="20"/>
      <c r="B3" s="3" t="s">
        <v>30</v>
      </c>
      <c r="C3" s="6" t="s">
        <v>1</v>
      </c>
      <c r="D3" s="11" t="s">
        <v>2</v>
      </c>
      <c r="E3" s="6" t="s">
        <v>3</v>
      </c>
      <c r="F3" s="11" t="s">
        <v>2</v>
      </c>
      <c r="G3" s="6" t="s">
        <v>4</v>
      </c>
      <c r="H3" s="11" t="s">
        <v>2</v>
      </c>
      <c r="I3" s="6" t="s">
        <v>5</v>
      </c>
      <c r="J3" s="11" t="s">
        <v>2</v>
      </c>
      <c r="K3" s="6" t="s">
        <v>6</v>
      </c>
      <c r="L3" s="11" t="s">
        <v>2</v>
      </c>
      <c r="M3" s="6" t="s">
        <v>7</v>
      </c>
      <c r="N3" s="11" t="s">
        <v>2</v>
      </c>
      <c r="O3" s="14" t="s">
        <v>8</v>
      </c>
      <c r="P3" s="11" t="s">
        <v>2</v>
      </c>
      <c r="Q3" s="18"/>
      <c r="R3" s="20"/>
      <c r="S3" s="25"/>
    </row>
    <row r="4" spans="1:19" ht="15.75" thickTop="1">
      <c r="A4" s="20"/>
      <c r="B4" s="3" t="s">
        <v>31</v>
      </c>
      <c r="C4" s="7">
        <f>2428.48*1.25</f>
        <v>3035.6</v>
      </c>
      <c r="D4" s="12">
        <f aca="true" t="shared" si="0" ref="D4:D14">80*C4/C$25</f>
        <v>5.398575306799882</v>
      </c>
      <c r="E4" s="7">
        <f>3421.68*1.25</f>
        <v>4277.099999999999</v>
      </c>
      <c r="F4" s="12">
        <f aca="true" t="shared" si="1" ref="F4:F14">80*E4/E$25</f>
        <v>5.755969811808277</v>
      </c>
      <c r="G4" s="7">
        <f>3199.28*1.25</f>
        <v>3999.1000000000004</v>
      </c>
      <c r="H4" s="12">
        <f aca="true" t="shared" si="2" ref="H4:H14">80*G4/G$25</f>
        <v>5.109100653409399</v>
      </c>
      <c r="I4" s="7">
        <f>3219.2*1.25</f>
        <v>4024</v>
      </c>
      <c r="J4" s="12">
        <f aca="true" t="shared" si="3" ref="J4:J14">80*I4/I$25</f>
        <v>5.972023208374486</v>
      </c>
      <c r="K4" s="7">
        <f>4868.4*1.25</f>
        <v>6085.5</v>
      </c>
      <c r="L4" s="12">
        <f aca="true" t="shared" si="4" ref="L4:L14">80*K4/K$25</f>
        <v>6.641195382429397</v>
      </c>
      <c r="M4" s="7">
        <f>4937.52*1.25</f>
        <v>6171.900000000001</v>
      </c>
      <c r="N4" s="12">
        <f aca="true" t="shared" si="5" ref="N4:N14">80*M4/M$25</f>
        <v>7.419981738277904</v>
      </c>
      <c r="O4" s="7">
        <f>4110.48*1.25</f>
        <v>5138.099999999999</v>
      </c>
      <c r="P4" s="12">
        <f aca="true" t="shared" si="6" ref="P4:P14">80*O4/O$25</f>
        <v>5.891046425770591</v>
      </c>
      <c r="Q4" s="18"/>
      <c r="R4" s="20"/>
      <c r="S4" s="2"/>
    </row>
    <row r="5" spans="1:19" ht="15">
      <c r="A5" s="20"/>
      <c r="B5" s="24" t="s">
        <v>32</v>
      </c>
      <c r="C5" s="8">
        <f>399.6*1.25</f>
        <v>499.5</v>
      </c>
      <c r="D5" s="13">
        <f t="shared" si="0"/>
        <v>0.8883213749329756</v>
      </c>
      <c r="E5" s="8">
        <f>1.25*2838.4</f>
        <v>3548</v>
      </c>
      <c r="F5" s="13">
        <f t="shared" si="1"/>
        <v>4.774772834933897</v>
      </c>
      <c r="G5" s="8">
        <f>1887.2*1.25</f>
        <v>2359</v>
      </c>
      <c r="H5" s="13">
        <f t="shared" si="2"/>
        <v>3.0137702086451386</v>
      </c>
      <c r="I5" s="8">
        <f>2413.6*1.25</f>
        <v>3017</v>
      </c>
      <c r="J5" s="13">
        <f t="shared" si="3"/>
        <v>4.47753330508594</v>
      </c>
      <c r="K5" s="8">
        <f>4708*1.25</f>
        <v>5885</v>
      </c>
      <c r="L5" s="13">
        <f t="shared" si="4"/>
        <v>6.422386792473421</v>
      </c>
      <c r="M5" s="8">
        <f>2824.4*1.25</f>
        <v>3530.5</v>
      </c>
      <c r="N5" s="13">
        <f t="shared" si="5"/>
        <v>4.244437778802336</v>
      </c>
      <c r="O5" s="8">
        <f>3682.4*1.25</f>
        <v>4603</v>
      </c>
      <c r="P5" s="13">
        <f t="shared" si="6"/>
        <v>5.277531908258312</v>
      </c>
      <c r="Q5" s="18"/>
      <c r="R5" s="20"/>
      <c r="S5" s="2"/>
    </row>
    <row r="6" spans="1:19" ht="15">
      <c r="A6" s="20"/>
      <c r="B6" s="24" t="s">
        <v>33</v>
      </c>
      <c r="C6" s="8">
        <f>2323.2*1.25</f>
        <v>2904</v>
      </c>
      <c r="D6" s="13">
        <f t="shared" si="0"/>
        <v>5.164535080691413</v>
      </c>
      <c r="E6" s="8">
        <f>1.25*2782</f>
        <v>3477.5</v>
      </c>
      <c r="F6" s="13">
        <f t="shared" si="1"/>
        <v>4.679896429955644</v>
      </c>
      <c r="G6" s="8">
        <f>3212.8*1.25</f>
        <v>4016</v>
      </c>
      <c r="H6" s="13">
        <f t="shared" si="2"/>
        <v>5.130691461601898</v>
      </c>
      <c r="I6" s="8">
        <f>2505.84*1.25</f>
        <v>3132.3</v>
      </c>
      <c r="J6" s="13">
        <f t="shared" si="3"/>
        <v>4.648650172860686</v>
      </c>
      <c r="K6" s="8">
        <f>4838.8*1.25</f>
        <v>6048.5</v>
      </c>
      <c r="L6" s="13">
        <f t="shared" si="4"/>
        <v>6.60081673989388</v>
      </c>
      <c r="M6" s="8">
        <f>4421.28*1.25</f>
        <v>5526.599999999999</v>
      </c>
      <c r="N6" s="13">
        <f t="shared" si="5"/>
        <v>6.644189159702305</v>
      </c>
      <c r="O6" s="8">
        <f>4292.4*1.25</f>
        <v>5365.5</v>
      </c>
      <c r="P6" s="13">
        <f t="shared" si="6"/>
        <v>6.151770031231799</v>
      </c>
      <c r="Q6" s="18"/>
      <c r="R6" s="20"/>
      <c r="S6" s="2"/>
    </row>
    <row r="7" spans="1:19" ht="15">
      <c r="A7" s="20"/>
      <c r="B7" s="24" t="s">
        <v>34</v>
      </c>
      <c r="C7" s="8">
        <f>3377.28*1.25</f>
        <v>4221.6</v>
      </c>
      <c r="D7" s="13">
        <f t="shared" si="0"/>
        <v>7.507782815649749</v>
      </c>
      <c r="E7" s="8">
        <f>1.25*3896</f>
        <v>4870</v>
      </c>
      <c r="F7" s="13">
        <f t="shared" si="1"/>
        <v>6.553873648852332</v>
      </c>
      <c r="G7" s="8">
        <f>4309.28*1.25</f>
        <v>5386.599999999999</v>
      </c>
      <c r="H7" s="13">
        <f t="shared" si="2"/>
        <v>6.881718781639636</v>
      </c>
      <c r="I7" s="8">
        <f>1669.2*1.25</f>
        <v>2086.5</v>
      </c>
      <c r="J7" s="13">
        <f t="shared" si="3"/>
        <v>3.0965771432090863</v>
      </c>
      <c r="K7" s="8">
        <f>2160.8*1.25</f>
        <v>2701</v>
      </c>
      <c r="L7" s="13">
        <f t="shared" si="4"/>
        <v>2.947640905092729</v>
      </c>
      <c r="M7" s="8">
        <f>2737.6*1.25</f>
        <v>3422</v>
      </c>
      <c r="N7" s="13">
        <f t="shared" si="5"/>
        <v>4.113996906687889</v>
      </c>
      <c r="O7" s="8">
        <f>3312*1.25</f>
        <v>4140</v>
      </c>
      <c r="P7" s="13">
        <f t="shared" si="6"/>
        <v>4.746683054570804</v>
      </c>
      <c r="Q7" s="18"/>
      <c r="R7" s="20"/>
      <c r="S7" s="2"/>
    </row>
    <row r="8" spans="1:19" ht="15">
      <c r="A8" s="20"/>
      <c r="B8" s="24" t="s">
        <v>35</v>
      </c>
      <c r="C8" s="8">
        <f>4260*1.25</f>
        <v>5325</v>
      </c>
      <c r="D8" s="13">
        <f t="shared" si="0"/>
        <v>9.470092735771962</v>
      </c>
      <c r="E8" s="8">
        <f>5316.8*1.25</f>
        <v>6646</v>
      </c>
      <c r="F8" s="13">
        <f t="shared" si="1"/>
        <v>8.943951595538522</v>
      </c>
      <c r="G8" s="8">
        <f>4296*1.25</f>
        <v>5370</v>
      </c>
      <c r="H8" s="13">
        <f t="shared" si="2"/>
        <v>6.860511242231621</v>
      </c>
      <c r="I8" s="8">
        <f>3925.6*1.25</f>
        <v>4907</v>
      </c>
      <c r="J8" s="13">
        <f t="shared" si="3"/>
        <v>7.282484563492445</v>
      </c>
      <c r="K8" s="8">
        <f>5090.56*1.25</f>
        <v>6363.200000000001</v>
      </c>
      <c r="L8" s="13">
        <f t="shared" si="4"/>
        <v>6.944253464378399</v>
      </c>
      <c r="M8" s="8">
        <f>5074.88*1.25</f>
        <v>6343.6</v>
      </c>
      <c r="N8" s="13">
        <f t="shared" si="5"/>
        <v>7.62640291562399</v>
      </c>
      <c r="O8" s="8">
        <f>4901.6*1.25</f>
        <v>6127</v>
      </c>
      <c r="P8" s="13">
        <f t="shared" si="6"/>
        <v>7.024861612404666</v>
      </c>
      <c r="Q8" s="18"/>
      <c r="R8" s="20"/>
      <c r="S8" s="2"/>
    </row>
    <row r="9" spans="1:19" ht="15">
      <c r="A9" s="20"/>
      <c r="B9" s="24" t="s">
        <v>51</v>
      </c>
      <c r="C9" s="8">
        <f>2672*1.25</f>
        <v>3340</v>
      </c>
      <c r="D9" s="13">
        <f t="shared" si="0"/>
        <v>5.93992671126354</v>
      </c>
      <c r="E9" s="8">
        <f>1.25*916.08</f>
        <v>1145.1000000000001</v>
      </c>
      <c r="F9" s="13">
        <f t="shared" si="1"/>
        <v>1.5410350544765519</v>
      </c>
      <c r="G9" s="8">
        <f>612.08*1.25</f>
        <v>765.1</v>
      </c>
      <c r="H9" s="13">
        <f t="shared" si="2"/>
        <v>0.9774631566911384</v>
      </c>
      <c r="I9" s="8">
        <f>232*1.25</f>
        <v>290</v>
      </c>
      <c r="J9" s="13">
        <f t="shared" si="3"/>
        <v>0.4303893465279823</v>
      </c>
      <c r="K9" s="8">
        <f>956.8*1.25</f>
        <v>1196</v>
      </c>
      <c r="L9" s="13">
        <f t="shared" si="4"/>
        <v>1.3052123370940036</v>
      </c>
      <c r="M9" s="8">
        <f>497.6*1.25</f>
        <v>622</v>
      </c>
      <c r="N9" s="13">
        <f t="shared" si="5"/>
        <v>0.7477808521215275</v>
      </c>
      <c r="O9" s="8">
        <f>116*1.25</f>
        <v>145</v>
      </c>
      <c r="P9" s="13">
        <f t="shared" si="6"/>
        <v>0.16624856109004024</v>
      </c>
      <c r="Q9" s="18"/>
      <c r="R9" s="20"/>
      <c r="S9" s="2"/>
    </row>
    <row r="10" spans="1:19" ht="15">
      <c r="A10" s="20"/>
      <c r="B10" s="24" t="s">
        <v>37</v>
      </c>
      <c r="C10" s="8">
        <f>0</f>
        <v>0</v>
      </c>
      <c r="D10" s="13">
        <f t="shared" si="0"/>
        <v>0</v>
      </c>
      <c r="E10" s="8">
        <f>1.25*2322.4</f>
        <v>2903</v>
      </c>
      <c r="F10" s="13">
        <f t="shared" si="1"/>
        <v>3.906754661728608</v>
      </c>
      <c r="G10" s="8">
        <f>4877.6*1.25</f>
        <v>6097</v>
      </c>
      <c r="H10" s="13">
        <f t="shared" si="2"/>
        <v>7.789299263293518</v>
      </c>
      <c r="I10" s="8">
        <f>5013.6*1.25</f>
        <v>6267</v>
      </c>
      <c r="J10" s="13">
        <f t="shared" si="3"/>
        <v>9.30086218858919</v>
      </c>
      <c r="K10" s="8">
        <f>9860.8*1.25</f>
        <v>12326</v>
      </c>
      <c r="L10" s="13">
        <f t="shared" si="4"/>
        <v>13.451544537642716</v>
      </c>
      <c r="M10" s="8">
        <f>10600*1.25</f>
        <v>13250</v>
      </c>
      <c r="N10" s="13">
        <f t="shared" si="5"/>
        <v>15.929415258215819</v>
      </c>
      <c r="O10" s="8">
        <f>14794.4*1.25</f>
        <v>18493</v>
      </c>
      <c r="P10" s="13">
        <f t="shared" si="6"/>
        <v>21.202997518883546</v>
      </c>
      <c r="Q10" s="18"/>
      <c r="R10" s="20"/>
      <c r="S10" s="2"/>
    </row>
    <row r="11" spans="1:19" ht="15">
      <c r="A11" s="20"/>
      <c r="B11" s="24" t="s">
        <v>38</v>
      </c>
      <c r="C11" s="8">
        <f>8267.68*1.25</f>
        <v>10334.6</v>
      </c>
      <c r="D11" s="13">
        <f t="shared" si="0"/>
        <v>18.37927143419886</v>
      </c>
      <c r="E11" s="8">
        <f>1.25*8586.16</f>
        <v>10732.7</v>
      </c>
      <c r="F11" s="13">
        <f t="shared" si="1"/>
        <v>14.443687825675037</v>
      </c>
      <c r="G11" s="8">
        <f>8450.4*1.25</f>
        <v>10563</v>
      </c>
      <c r="H11" s="13">
        <f t="shared" si="2"/>
        <v>13.494893901618736</v>
      </c>
      <c r="I11" s="8">
        <f>9335.2*1.25</f>
        <v>11669</v>
      </c>
      <c r="J11" s="13">
        <f t="shared" si="3"/>
        <v>17.317976843569053</v>
      </c>
      <c r="K11" s="8">
        <f>9278.92*1.25</f>
        <v>11598.65</v>
      </c>
      <c r="L11" s="13">
        <f t="shared" si="4"/>
        <v>12.657776817420874</v>
      </c>
      <c r="M11" s="8">
        <f>9616*1.25</f>
        <v>12020</v>
      </c>
      <c r="N11" s="13">
        <f t="shared" si="5"/>
        <v>14.450684634245595</v>
      </c>
      <c r="O11" s="8">
        <f>7393.6*1.25</f>
        <v>9242</v>
      </c>
      <c r="P11" s="13">
        <f t="shared" si="6"/>
        <v>10.596339321338979</v>
      </c>
      <c r="Q11" s="18"/>
      <c r="R11" s="20"/>
      <c r="S11" s="2"/>
    </row>
    <row r="12" spans="1:19" ht="15">
      <c r="A12" s="20"/>
      <c r="B12" s="24" t="s">
        <v>39</v>
      </c>
      <c r="C12" s="8">
        <f>3700.4*1.25-C13</f>
        <v>4069.5</v>
      </c>
      <c r="D12" s="13">
        <f t="shared" si="0"/>
        <v>7.237284955535023</v>
      </c>
      <c r="E12" s="8">
        <f>5624.08*1.25-E13</f>
        <v>5704</v>
      </c>
      <c r="F12" s="13">
        <f t="shared" si="1"/>
        <v>7.6762413332759145</v>
      </c>
      <c r="G12" s="8">
        <f>6718.08*1.25-G13</f>
        <v>7702.6</v>
      </c>
      <c r="H12" s="13">
        <f t="shared" si="2"/>
        <v>9.840553797842325</v>
      </c>
      <c r="I12" s="8">
        <f>8017.2*1.25-I13</f>
        <v>9003.5</v>
      </c>
      <c r="J12" s="13">
        <f t="shared" si="3"/>
        <v>13.362105108498927</v>
      </c>
      <c r="K12" s="8">
        <f>9244.4*1.25-K13</f>
        <v>10198.5</v>
      </c>
      <c r="L12" s="13">
        <f t="shared" si="4"/>
        <v>11.129772591850498</v>
      </c>
      <c r="M12" s="8">
        <f>8171.12*1.25-M13</f>
        <v>8784.9</v>
      </c>
      <c r="N12" s="13">
        <f t="shared" si="5"/>
        <v>10.561382649200011</v>
      </c>
      <c r="O12" s="8">
        <f>7478.4*1.25-O13</f>
        <v>7619</v>
      </c>
      <c r="P12" s="13">
        <f t="shared" si="6"/>
        <v>8.735501978931149</v>
      </c>
      <c r="Q12" s="18"/>
      <c r="R12" s="20"/>
      <c r="S12" s="2"/>
    </row>
    <row r="13" spans="1:19" ht="15">
      <c r="A13" s="20"/>
      <c r="B13" s="24" t="s">
        <v>40</v>
      </c>
      <c r="C13" s="8">
        <f>444.8*1.25</f>
        <v>556</v>
      </c>
      <c r="D13" s="13">
        <f t="shared" si="0"/>
        <v>0.9888021710965654</v>
      </c>
      <c r="E13" s="8">
        <f>1060.88*1.25</f>
        <v>1326.1000000000001</v>
      </c>
      <c r="F13" s="13">
        <f t="shared" si="1"/>
        <v>1.7846184488178807</v>
      </c>
      <c r="G13" s="8">
        <f>556*1.25</f>
        <v>695</v>
      </c>
      <c r="H13" s="13">
        <f t="shared" si="2"/>
        <v>0.8879060173837945</v>
      </c>
      <c r="I13" s="8">
        <f>814.4*1.25</f>
        <v>1018</v>
      </c>
      <c r="J13" s="13">
        <f t="shared" si="3"/>
        <v>1.5108150164327103</v>
      </c>
      <c r="K13" s="8">
        <f>1085.6*1.25</f>
        <v>1357</v>
      </c>
      <c r="L13" s="13">
        <f t="shared" si="4"/>
        <v>1.480913997856658</v>
      </c>
      <c r="M13" s="8">
        <f>1143.2*1.25</f>
        <v>1429</v>
      </c>
      <c r="N13" s="13">
        <f t="shared" si="5"/>
        <v>1.7179724078483325</v>
      </c>
      <c r="O13" s="8">
        <f>1383.2*1.25</f>
        <v>1729</v>
      </c>
      <c r="P13" s="13">
        <f t="shared" si="6"/>
        <v>1.9823707732736522</v>
      </c>
      <c r="Q13" s="18"/>
      <c r="R13" s="20"/>
      <c r="S13" s="2"/>
    </row>
    <row r="14" spans="1:19" ht="15">
      <c r="A14" s="20"/>
      <c r="B14" s="24" t="s">
        <v>41</v>
      </c>
      <c r="C14" s="8">
        <f>3106.4*1.25</f>
        <v>3883</v>
      </c>
      <c r="D14" s="13">
        <f t="shared" si="0"/>
        <v>6.905609407136625</v>
      </c>
      <c r="E14" s="8">
        <f>1.25*3940.88</f>
        <v>4926.1</v>
      </c>
      <c r="F14" s="13">
        <f t="shared" si="1"/>
        <v>6.629371043452048</v>
      </c>
      <c r="G14" s="8">
        <f>3380.8*1.25</f>
        <v>4226</v>
      </c>
      <c r="H14" s="13">
        <f t="shared" si="2"/>
        <v>5.398979610739447</v>
      </c>
      <c r="I14" s="8">
        <f>2115.28*1.25</f>
        <v>2644.1000000000004</v>
      </c>
      <c r="J14" s="13">
        <f t="shared" si="3"/>
        <v>3.9241119694987523</v>
      </c>
      <c r="K14" s="8">
        <f>2796*1.25</f>
        <v>3495</v>
      </c>
      <c r="L14" s="13">
        <f t="shared" si="4"/>
        <v>3.8141447476116577</v>
      </c>
      <c r="M14" s="8">
        <f>1535.2*1.25</f>
        <v>1919</v>
      </c>
      <c r="N14" s="13">
        <f t="shared" si="5"/>
        <v>2.3070602173974457</v>
      </c>
      <c r="O14" s="8">
        <f>3879.68*1.25</f>
        <v>4849.599999999999</v>
      </c>
      <c r="P14" s="13">
        <f t="shared" si="6"/>
        <v>5.560269116291441</v>
      </c>
      <c r="Q14" s="18"/>
      <c r="R14" s="20"/>
      <c r="S14" s="2"/>
    </row>
    <row r="15" spans="1:19" ht="15">
      <c r="A15" s="20"/>
      <c r="B15" s="24" t="s">
        <v>42</v>
      </c>
      <c r="C15" s="8">
        <f>1799.6*1.25</f>
        <v>2249.5</v>
      </c>
      <c r="D15" s="13">
        <f>100*C15/C$25</f>
        <v>5.000698030309631</v>
      </c>
      <c r="E15" s="8">
        <f>1.25*2033.2</f>
        <v>2541.5</v>
      </c>
      <c r="F15" s="13">
        <f>100*E15/E$25</f>
        <v>4.275325944188451</v>
      </c>
      <c r="G15" s="8">
        <f>1711.2*1.25</f>
        <v>2139</v>
      </c>
      <c r="H15" s="13">
        <f>100*G15/G$25</f>
        <v>3.4158830416977275</v>
      </c>
      <c r="I15" s="8">
        <f>1096*1.25</f>
        <v>1370</v>
      </c>
      <c r="J15" s="13">
        <f>100*I15/I$25</f>
        <v>2.541523296307482</v>
      </c>
      <c r="K15" s="8">
        <f>2216.8*1.25</f>
        <v>2771</v>
      </c>
      <c r="L15" s="13">
        <f>100*K15/K$25</f>
        <v>3.7800411643890928</v>
      </c>
      <c r="M15" s="8">
        <f>1880.8*1.25</f>
        <v>2351</v>
      </c>
      <c r="N15" s="13">
        <f>100*M15/M$25</f>
        <v>3.5330240822703196</v>
      </c>
      <c r="O15" s="8">
        <f>1884.8*1.25</f>
        <v>2356</v>
      </c>
      <c r="P15" s="13">
        <f>100*O15/O$25</f>
        <v>3.376565602828748</v>
      </c>
      <c r="Q15" s="18"/>
      <c r="R15" s="20"/>
      <c r="S15" s="2"/>
    </row>
    <row r="16" spans="1:19" ht="15">
      <c r="A16" s="20"/>
      <c r="B16" s="24" t="s">
        <v>43</v>
      </c>
      <c r="C16" s="8">
        <f>2870.4*1.25</f>
        <v>3588</v>
      </c>
      <c r="D16" s="13">
        <f aca="true" t="shared" si="7" ref="D16:D23">80*C16/C$25</f>
        <v>6.3809751616807135</v>
      </c>
      <c r="E16" s="8">
        <f>1.25*4453.6</f>
        <v>5567</v>
      </c>
      <c r="F16" s="13">
        <f aca="true" t="shared" si="8" ref="F16:F23">80*E16/E$25</f>
        <v>7.491871581757892</v>
      </c>
      <c r="G16" s="8">
        <f>5763.2*1.25</f>
        <v>7204</v>
      </c>
      <c r="H16" s="13">
        <f aca="true" t="shared" si="9" ref="H16:H23">80*G16/G$25</f>
        <v>9.203561078032886</v>
      </c>
      <c r="I16" s="8">
        <f>3244*1.25</f>
        <v>4055</v>
      </c>
      <c r="J16" s="13">
        <f aca="true" t="shared" si="10" ref="J16:J23">80*I16/I$25</f>
        <v>6.018030345417132</v>
      </c>
      <c r="K16" s="8">
        <f>4994.4*1.25</f>
        <v>6243</v>
      </c>
      <c r="L16" s="13">
        <f aca="true" t="shared" si="11" ref="L16:L23">80*K16/K$25</f>
        <v>6.813077441871124</v>
      </c>
      <c r="M16" s="8">
        <f>3647.2*1.25</f>
        <v>4559</v>
      </c>
      <c r="N16" s="13">
        <f aca="true" t="shared" si="12" ref="N16:N23">80*M16/M$25</f>
        <v>5.4809210688457295</v>
      </c>
      <c r="O16" s="8">
        <f>4794.4*1.25</f>
        <v>5993</v>
      </c>
      <c r="P16" s="13">
        <f aca="true" t="shared" si="13" ref="P16:P23">80*O16/O$25</f>
        <v>6.871225011121456</v>
      </c>
      <c r="Q16" s="18"/>
      <c r="R16" s="20"/>
      <c r="S16" s="2"/>
    </row>
    <row r="17" spans="1:19" ht="15">
      <c r="A17" s="20"/>
      <c r="B17" s="24" t="s">
        <v>44</v>
      </c>
      <c r="C17" s="8">
        <f>3980*1.25</f>
        <v>4975</v>
      </c>
      <c r="D17" s="13">
        <f t="shared" si="7"/>
        <v>8.847645325909015</v>
      </c>
      <c r="E17" s="8">
        <f>1.25*3829.36</f>
        <v>4786.7</v>
      </c>
      <c r="F17" s="13">
        <f t="shared" si="8"/>
        <v>6.441771456870937</v>
      </c>
      <c r="G17" s="8">
        <f>4984*1.25</f>
        <v>6230</v>
      </c>
      <c r="H17" s="13">
        <f t="shared" si="9"/>
        <v>7.959215091080633</v>
      </c>
      <c r="I17" s="8">
        <f>4208.8*1.25</f>
        <v>5261</v>
      </c>
      <c r="J17" s="13">
        <f t="shared" si="10"/>
        <v>7.807856386495568</v>
      </c>
      <c r="K17" s="8">
        <f>4085.6*1.25</f>
        <v>5107</v>
      </c>
      <c r="L17" s="13">
        <f t="shared" si="11"/>
        <v>5.5733439845644455</v>
      </c>
      <c r="M17" s="8">
        <f>3467.2*1.25</f>
        <v>4334</v>
      </c>
      <c r="N17" s="13">
        <f t="shared" si="12"/>
        <v>5.210421564460932</v>
      </c>
      <c r="O17" s="8">
        <f>1.25*2882.4</f>
        <v>3603</v>
      </c>
      <c r="P17" s="13">
        <f t="shared" si="13"/>
        <v>4.130990107637345</v>
      </c>
      <c r="Q17" s="18"/>
      <c r="R17" s="20"/>
      <c r="S17" s="2"/>
    </row>
    <row r="18" spans="1:19" ht="15">
      <c r="A18" s="20"/>
      <c r="B18" s="24" t="s">
        <v>45</v>
      </c>
      <c r="C18" s="8">
        <f>395.2*1.25</f>
        <v>494</v>
      </c>
      <c r="D18" s="13">
        <f t="shared" si="7"/>
        <v>0.8785400584922721</v>
      </c>
      <c r="E18" s="8">
        <f>1.25*2269.2</f>
        <v>2836.5</v>
      </c>
      <c r="F18" s="13">
        <f t="shared" si="8"/>
        <v>3.817261315188838</v>
      </c>
      <c r="G18" s="8">
        <f>1657.92*1.25</f>
        <v>2072.4</v>
      </c>
      <c r="H18" s="13">
        <f t="shared" si="9"/>
        <v>2.647620763203131</v>
      </c>
      <c r="I18" s="8">
        <f>1097.2*1.25</f>
        <v>1371.5</v>
      </c>
      <c r="J18" s="13">
        <f t="shared" si="10"/>
        <v>2.0354447888383715</v>
      </c>
      <c r="K18" s="8">
        <f>1071.68*1.25</f>
        <v>1339.6000000000001</v>
      </c>
      <c r="L18" s="13">
        <f t="shared" si="11"/>
        <v>1.461925122718334</v>
      </c>
      <c r="M18" s="8">
        <f>798.4*1.25</f>
        <v>998</v>
      </c>
      <c r="N18" s="13">
        <f t="shared" si="12"/>
        <v>1.1998155794490104</v>
      </c>
      <c r="O18" s="8">
        <f>1007.76*1.25</f>
        <v>1259.7</v>
      </c>
      <c r="P18" s="13">
        <f t="shared" si="13"/>
        <v>1.4442987062422323</v>
      </c>
      <c r="Q18" s="18"/>
      <c r="R18" s="20"/>
      <c r="S18" s="2"/>
    </row>
    <row r="19" spans="1:19" ht="15">
      <c r="A19" s="20"/>
      <c r="B19" s="24" t="s">
        <v>46</v>
      </c>
      <c r="C19" s="8">
        <f>2520.96*1.25</f>
        <v>3151.2</v>
      </c>
      <c r="D19" s="13">
        <f t="shared" si="7"/>
        <v>5.604160794171757</v>
      </c>
      <c r="E19" s="8">
        <f>1.25*3170.32</f>
        <v>3962.9</v>
      </c>
      <c r="F19" s="13">
        <f t="shared" si="8"/>
        <v>5.333130571465484</v>
      </c>
      <c r="G19" s="8">
        <f>2670*1.25</f>
        <v>3337.5</v>
      </c>
      <c r="H19" s="13">
        <f t="shared" si="9"/>
        <v>4.263865227364625</v>
      </c>
      <c r="I19" s="8">
        <f>2383.04*1.25</f>
        <v>2978.8</v>
      </c>
      <c r="J19" s="13">
        <f t="shared" si="10"/>
        <v>4.42084063943984</v>
      </c>
      <c r="K19" s="8">
        <f>2768.72*1.25</f>
        <v>3460.8999999999996</v>
      </c>
      <c r="L19" s="13">
        <f t="shared" si="11"/>
        <v>3.776930917599195</v>
      </c>
      <c r="M19" s="8">
        <f>2622.88*1.25</f>
        <v>3278.6000000000004</v>
      </c>
      <c r="N19" s="13">
        <f t="shared" si="12"/>
        <v>3.9415985558933118</v>
      </c>
      <c r="O19" s="8">
        <f>1616.64*1.25</f>
        <v>2020.8000000000002</v>
      </c>
      <c r="P19" s="13">
        <f t="shared" si="13"/>
        <v>2.3169316706948506</v>
      </c>
      <c r="Q19" s="18"/>
      <c r="R19" s="20"/>
      <c r="S19" s="2"/>
    </row>
    <row r="20" spans="1:19" ht="15">
      <c r="A20" s="20"/>
      <c r="B20" s="24" t="s">
        <v>47</v>
      </c>
      <c r="C20" s="8">
        <f>296*1.25</f>
        <v>370</v>
      </c>
      <c r="D20" s="13">
        <f t="shared" si="7"/>
        <v>0.6580158332836856</v>
      </c>
      <c r="E20" s="8">
        <v>0</v>
      </c>
      <c r="F20" s="13">
        <f t="shared" si="8"/>
        <v>0</v>
      </c>
      <c r="G20" s="8">
        <f>128.8*1.25</f>
        <v>161</v>
      </c>
      <c r="H20" s="13">
        <f t="shared" si="9"/>
        <v>0.20568758100545456</v>
      </c>
      <c r="I20" s="8">
        <f>192.08*1.25</f>
        <v>240.10000000000002</v>
      </c>
      <c r="J20" s="13">
        <f t="shared" si="10"/>
        <v>0.35633269690127084</v>
      </c>
      <c r="K20" s="8">
        <f>117.6*1.25</f>
        <v>147</v>
      </c>
      <c r="L20" s="13">
        <f t="shared" si="11"/>
        <v>0.16042325547894526</v>
      </c>
      <c r="M20" s="8">
        <v>0</v>
      </c>
      <c r="N20" s="13">
        <f t="shared" si="12"/>
        <v>0</v>
      </c>
      <c r="O20" s="8">
        <v>0</v>
      </c>
      <c r="P20" s="13">
        <f t="shared" si="13"/>
        <v>0</v>
      </c>
      <c r="Q20" s="18"/>
      <c r="R20" s="20"/>
      <c r="S20" s="2"/>
    </row>
    <row r="21" spans="1:19" ht="15">
      <c r="A21" s="20"/>
      <c r="B21" s="24" t="s">
        <v>48</v>
      </c>
      <c r="C21" s="8">
        <v>77</v>
      </c>
      <c r="D21" s="13">
        <f t="shared" si="7"/>
        <v>0.13693843016984808</v>
      </c>
      <c r="E21" s="8">
        <v>484</v>
      </c>
      <c r="F21" s="13">
        <f t="shared" si="8"/>
        <v>0.6513500710563714</v>
      </c>
      <c r="G21" s="8">
        <v>277</v>
      </c>
      <c r="H21" s="13">
        <f t="shared" si="9"/>
        <v>0.3538848443385771</v>
      </c>
      <c r="I21" s="8">
        <v>145</v>
      </c>
      <c r="J21" s="13">
        <f t="shared" si="10"/>
        <v>0.21519467326399114</v>
      </c>
      <c r="K21" s="8">
        <v>131</v>
      </c>
      <c r="L21" s="13">
        <f t="shared" si="11"/>
        <v>0.14296222086899205</v>
      </c>
      <c r="M21" s="8">
        <v>59</v>
      </c>
      <c r="N21" s="13">
        <f t="shared" si="12"/>
        <v>0.0709309811497912</v>
      </c>
      <c r="O21" s="8">
        <v>352</v>
      </c>
      <c r="P21" s="13">
        <f t="shared" si="13"/>
        <v>0.4035827138185804</v>
      </c>
      <c r="Q21" s="18"/>
      <c r="R21" s="20"/>
      <c r="S21" s="2"/>
    </row>
    <row r="22" spans="1:19" ht="15">
      <c r="A22" s="20"/>
      <c r="B22" s="24" t="s">
        <v>49</v>
      </c>
      <c r="C22" s="8">
        <f>2428.72*1.25</f>
        <v>3035.8999999999996</v>
      </c>
      <c r="D22" s="13">
        <f t="shared" si="7"/>
        <v>5.399108833151192</v>
      </c>
      <c r="E22" s="8">
        <f>1.25*3485.2</f>
        <v>4356.5</v>
      </c>
      <c r="F22" s="13">
        <f t="shared" si="8"/>
        <v>5.862823521812153</v>
      </c>
      <c r="G22" s="8">
        <f>4408*1.25</f>
        <v>5510</v>
      </c>
      <c r="H22" s="13">
        <f t="shared" si="9"/>
        <v>7.039370008323321</v>
      </c>
      <c r="I22" s="8">
        <f>3026.4*1.25</f>
        <v>3783</v>
      </c>
      <c r="J22" s="13">
        <f t="shared" si="10"/>
        <v>5.614354820397783</v>
      </c>
      <c r="K22" s="8">
        <f>4021.2*1.25</f>
        <v>5026.5</v>
      </c>
      <c r="L22" s="13">
        <f t="shared" si="11"/>
        <v>5.485493154183118</v>
      </c>
      <c r="M22" s="8">
        <f>3595.68*1.25</f>
        <v>4494.599999999999</v>
      </c>
      <c r="N22" s="13">
        <f t="shared" si="12"/>
        <v>5.403498099590703</v>
      </c>
      <c r="O22" s="8">
        <f>1.25*3201.68</f>
        <v>4002.1</v>
      </c>
      <c r="P22" s="13">
        <f t="shared" si="13"/>
        <v>4.588574940265173</v>
      </c>
      <c r="Q22" s="18"/>
      <c r="R22" s="20"/>
      <c r="S22" s="2"/>
    </row>
    <row r="23" spans="1:19" ht="15.75" thickBot="1">
      <c r="A23" s="20"/>
      <c r="B23" s="24" t="s">
        <v>50</v>
      </c>
      <c r="C23" s="8">
        <f>80.8*1.25</f>
        <v>101</v>
      </c>
      <c r="D23" s="13">
        <f t="shared" si="7"/>
        <v>0.1796205382747358</v>
      </c>
      <c r="E23" s="8">
        <f>1.25*76.4</f>
        <v>95.5</v>
      </c>
      <c r="F23" s="13">
        <f t="shared" si="8"/>
        <v>0.1285205202187675</v>
      </c>
      <c r="G23" s="8">
        <f>75.6*1.25</f>
        <v>94.5</v>
      </c>
      <c r="H23" s="13">
        <f t="shared" si="9"/>
        <v>0.12072966711189724</v>
      </c>
      <c r="I23" s="8">
        <f>65.44*1.25</f>
        <v>81.8</v>
      </c>
      <c r="J23" s="13">
        <f t="shared" si="10"/>
        <v>0.12139947774478949</v>
      </c>
      <c r="K23" s="8">
        <f>95.6*1.25</f>
        <v>119.5</v>
      </c>
      <c r="L23" s="13">
        <f t="shared" si="11"/>
        <v>0.13041210224308816</v>
      </c>
      <c r="M23" s="8">
        <f>56.8*1.25</f>
        <v>71</v>
      </c>
      <c r="N23" s="13">
        <f t="shared" si="12"/>
        <v>0.08535762138364703</v>
      </c>
      <c r="O23" s="8">
        <f>74.4*1.25</f>
        <v>93</v>
      </c>
      <c r="P23" s="13">
        <f t="shared" si="13"/>
        <v>0.10662838745774994</v>
      </c>
      <c r="Q23" s="18"/>
      <c r="R23" s="20"/>
      <c r="S23" s="2"/>
    </row>
    <row r="24" spans="1:18" ht="16.5" thickBot="1" thickTop="1">
      <c r="A24" s="20"/>
      <c r="B24" s="3" t="s">
        <v>9</v>
      </c>
      <c r="C24" s="7">
        <f>SUM(C4:C23)</f>
        <v>56210.4</v>
      </c>
      <c r="D24" s="12"/>
      <c r="E24" s="7">
        <f>SUM(E4:E23)</f>
        <v>74186.19999999998</v>
      </c>
      <c r="F24" s="12"/>
      <c r="G24" s="7">
        <f>SUM(G4:G23)</f>
        <v>78204.79999999999</v>
      </c>
      <c r="H24" s="12"/>
      <c r="I24" s="7">
        <f>SUM(I4:I23)</f>
        <v>67344.6</v>
      </c>
      <c r="J24" s="12"/>
      <c r="K24" s="7">
        <f>SUM(K4:K23)</f>
        <v>91599.85</v>
      </c>
      <c r="L24" s="12"/>
      <c r="M24" s="7">
        <f>SUM(M4:M23)</f>
        <v>83164.70000000001</v>
      </c>
      <c r="N24" s="12"/>
      <c r="O24" s="7">
        <f>SUM(O4:O23)</f>
        <v>87130.8</v>
      </c>
      <c r="P24" s="12"/>
      <c r="Q24" s="18"/>
      <c r="R24" s="20"/>
    </row>
    <row r="25" spans="1:18" ht="16.5" thickBot="1" thickTop="1">
      <c r="A25" s="20"/>
      <c r="B25" s="3" t="s">
        <v>10</v>
      </c>
      <c r="C25" s="7">
        <f>C24*0.8+C21*0.2</f>
        <v>44983.72000000001</v>
      </c>
      <c r="D25" s="12"/>
      <c r="E25" s="7">
        <f>E24*0.8+E21*0.2</f>
        <v>59445.759999999995</v>
      </c>
      <c r="F25" s="12"/>
      <c r="G25" s="7">
        <f>G24*0.8+G21*0.2</f>
        <v>62619.24</v>
      </c>
      <c r="H25" s="12"/>
      <c r="I25" s="7">
        <f>I24*0.8+I21*0.2</f>
        <v>53904.68000000001</v>
      </c>
      <c r="J25" s="12"/>
      <c r="K25" s="7">
        <f>K24*0.8+K21*0.2</f>
        <v>73306.08</v>
      </c>
      <c r="L25" s="12"/>
      <c r="M25" s="7">
        <f>M24*0.8+M21*0.2</f>
        <v>66543.56000000001</v>
      </c>
      <c r="N25" s="12"/>
      <c r="O25" s="7">
        <f>O24*0.8+O21*0.2</f>
        <v>69775.04</v>
      </c>
      <c r="P25" s="12"/>
      <c r="Q25" s="18"/>
      <c r="R25" s="20"/>
    </row>
    <row r="26" spans="1:18" ht="16.5" thickBot="1" thickTop="1">
      <c r="A26" s="20"/>
      <c r="B26" s="5"/>
      <c r="C26" s="9"/>
      <c r="D26" s="11"/>
      <c r="E26" s="9"/>
      <c r="F26" s="11"/>
      <c r="G26" s="9"/>
      <c r="H26" s="11"/>
      <c r="I26" s="9"/>
      <c r="J26" s="11"/>
      <c r="K26" s="9"/>
      <c r="L26" s="11"/>
      <c r="M26" s="9"/>
      <c r="N26" s="11"/>
      <c r="O26" s="9"/>
      <c r="P26" s="11"/>
      <c r="Q26" s="20"/>
      <c r="R26" s="20"/>
    </row>
    <row r="27" spans="1:18" ht="16.5" thickBot="1" thickTop="1">
      <c r="A27" s="20"/>
      <c r="B27" s="3" t="s">
        <v>11</v>
      </c>
      <c r="C27" s="10"/>
      <c r="D27" s="11">
        <v>26</v>
      </c>
      <c r="E27" s="10"/>
      <c r="F27" s="11">
        <v>24</v>
      </c>
      <c r="G27" s="10"/>
      <c r="H27" s="11">
        <v>26</v>
      </c>
      <c r="I27" s="10"/>
      <c r="J27" s="11">
        <v>23</v>
      </c>
      <c r="K27" s="10"/>
      <c r="L27" s="11">
        <v>24</v>
      </c>
      <c r="M27" s="10"/>
      <c r="N27" s="11">
        <v>24</v>
      </c>
      <c r="O27" s="10"/>
      <c r="P27" s="11">
        <v>27</v>
      </c>
      <c r="Q27" s="18"/>
      <c r="R27" s="20"/>
    </row>
    <row r="28" spans="1:18" ht="16.5" thickBot="1" thickTop="1">
      <c r="A28" s="20"/>
      <c r="B28" s="3" t="s">
        <v>12</v>
      </c>
      <c r="C28" s="10">
        <f>C24/D27</f>
        <v>2161.9384615384615</v>
      </c>
      <c r="D28" s="9"/>
      <c r="E28" s="10">
        <f>E24/F27</f>
        <v>3091.091666666666</v>
      </c>
      <c r="F28" s="9"/>
      <c r="G28" s="10">
        <f>G24/H27</f>
        <v>3007.8769230769226</v>
      </c>
      <c r="H28" s="9"/>
      <c r="I28" s="10">
        <f>I24/J27</f>
        <v>2928.026086956522</v>
      </c>
      <c r="J28" s="9"/>
      <c r="K28" s="10">
        <f>K24/L27</f>
        <v>3816.660416666667</v>
      </c>
      <c r="L28" s="9"/>
      <c r="M28" s="10">
        <f>M24/N27</f>
        <v>3465.1958333333337</v>
      </c>
      <c r="N28" s="9"/>
      <c r="O28" s="10">
        <f>O24/P27</f>
        <v>3227.0666666666666</v>
      </c>
      <c r="P28" s="9"/>
      <c r="Q28" s="19"/>
      <c r="R28" s="20"/>
    </row>
    <row r="29" spans="1:18" ht="16.5" thickBot="1" thickTop="1">
      <c r="A29" s="20"/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3"/>
      <c r="R29" s="20"/>
    </row>
    <row r="30" spans="1:18" ht="16.5" thickBot="1" thickTop="1">
      <c r="A30" s="20"/>
      <c r="B30" s="3" t="s">
        <v>56</v>
      </c>
      <c r="C30" s="10">
        <v>2513</v>
      </c>
      <c r="D30" s="9"/>
      <c r="E30" s="10">
        <v>2936</v>
      </c>
      <c r="F30" s="9"/>
      <c r="G30" s="10">
        <v>3099</v>
      </c>
      <c r="H30" s="9"/>
      <c r="I30" s="10">
        <v>3303</v>
      </c>
      <c r="J30" s="9"/>
      <c r="K30" s="10">
        <v>3413</v>
      </c>
      <c r="L30" s="9"/>
      <c r="M30" s="10">
        <v>3237</v>
      </c>
      <c r="N30" s="9"/>
      <c r="O30" s="10">
        <v>3539</v>
      </c>
      <c r="P30" s="9"/>
      <c r="Q30" s="19"/>
      <c r="R30" s="20"/>
    </row>
    <row r="31" spans="1:18" ht="16.5" thickBot="1" thickTop="1">
      <c r="A31" s="20"/>
      <c r="B31" s="3" t="s">
        <v>52</v>
      </c>
      <c r="C31" s="10">
        <v>2271</v>
      </c>
      <c r="D31" s="9"/>
      <c r="E31" s="10">
        <v>2856</v>
      </c>
      <c r="F31" s="9"/>
      <c r="G31" s="10">
        <v>3001</v>
      </c>
      <c r="H31" s="9"/>
      <c r="I31" s="10">
        <v>2696</v>
      </c>
      <c r="J31" s="9"/>
      <c r="K31" s="10">
        <v>3726</v>
      </c>
      <c r="L31" s="9"/>
      <c r="M31" s="10">
        <v>3699</v>
      </c>
      <c r="N31" s="9"/>
      <c r="O31" s="10">
        <v>3393</v>
      </c>
      <c r="P31" s="9"/>
      <c r="Q31" s="19"/>
      <c r="R31" s="20"/>
    </row>
    <row r="32" spans="1:18" ht="15.75" thickTop="1">
      <c r="A32" s="20"/>
      <c r="B32" s="5"/>
      <c r="C32" s="9"/>
      <c r="D32" s="11"/>
      <c r="E32" s="9"/>
      <c r="F32" s="11"/>
      <c r="G32" s="9"/>
      <c r="H32" s="11"/>
      <c r="I32" s="9"/>
      <c r="J32" s="11"/>
      <c r="K32" s="9"/>
      <c r="L32" s="11"/>
      <c r="M32" s="9"/>
      <c r="N32" s="11"/>
      <c r="O32" s="9"/>
      <c r="P32" s="11"/>
      <c r="Q32" s="20"/>
      <c r="R32" s="20"/>
    </row>
    <row r="33" spans="1:18" ht="15.75" thickBot="1">
      <c r="A33" s="20"/>
      <c r="B33" s="21"/>
      <c r="C33" s="23"/>
      <c r="D33" s="20"/>
      <c r="E33" s="23"/>
      <c r="F33" s="20"/>
      <c r="G33" s="23"/>
      <c r="H33" s="20"/>
      <c r="I33" s="23"/>
      <c r="J33" s="20"/>
      <c r="K33" s="23"/>
      <c r="L33" s="20"/>
      <c r="M33" s="23"/>
      <c r="N33" s="20"/>
      <c r="O33" s="23"/>
      <c r="P33" s="20"/>
      <c r="Q33" s="20"/>
      <c r="R33" s="20"/>
    </row>
    <row r="34" spans="1:18" ht="16.5" thickBot="1" thickTop="1">
      <c r="A34" s="20"/>
      <c r="B34" s="3" t="s">
        <v>0</v>
      </c>
      <c r="C34" s="7" t="s">
        <v>13</v>
      </c>
      <c r="D34" s="11" t="s">
        <v>2</v>
      </c>
      <c r="E34" s="7" t="s">
        <v>14</v>
      </c>
      <c r="F34" s="11" t="s">
        <v>2</v>
      </c>
      <c r="G34" s="7" t="s">
        <v>15</v>
      </c>
      <c r="H34" s="11" t="s">
        <v>2</v>
      </c>
      <c r="I34" s="7" t="s">
        <v>16</v>
      </c>
      <c r="J34" s="11" t="s">
        <v>2</v>
      </c>
      <c r="K34" s="7" t="s">
        <v>17</v>
      </c>
      <c r="L34" s="11" t="s">
        <v>2</v>
      </c>
      <c r="M34" s="7" t="s">
        <v>18</v>
      </c>
      <c r="N34" s="14"/>
      <c r="O34" s="10" t="s">
        <v>19</v>
      </c>
      <c r="P34" s="11" t="s">
        <v>2</v>
      </c>
      <c r="Q34" s="18"/>
      <c r="R34" s="20"/>
    </row>
    <row r="35" spans="1:19" ht="15.75" thickTop="1">
      <c r="A35" s="20"/>
      <c r="B35" s="3" t="s">
        <v>31</v>
      </c>
      <c r="C35" s="7">
        <f>5014.48*1.25</f>
        <v>6268.099999999999</v>
      </c>
      <c r="D35" s="12">
        <f aca="true" t="shared" si="14" ref="D35:D45">80*C35/C$56</f>
        <v>7.976539066983788</v>
      </c>
      <c r="E35" s="7">
        <f>1.25*4626</f>
        <v>5782.5</v>
      </c>
      <c r="F35" s="12">
        <f aca="true" t="shared" si="15" ref="F35:F45">80*E35/E$56</f>
        <v>9.087508820344706</v>
      </c>
      <c r="G35" s="7">
        <f>1.25*3586.4</f>
        <v>4483</v>
      </c>
      <c r="H35" s="12">
        <f aca="true" t="shared" si="16" ref="H35:H45">80*G35/G$56</f>
        <v>5.4846323549877205</v>
      </c>
      <c r="I35" s="7">
        <f>1.25*3111.6</f>
        <v>3889.5</v>
      </c>
      <c r="J35" s="12">
        <f aca="true" t="shared" si="17" ref="J35:J45">80*I35/I$56</f>
        <v>3.342135134136522</v>
      </c>
      <c r="K35" s="7">
        <f>1.25*11904.87</f>
        <v>14881.087500000001</v>
      </c>
      <c r="L35" s="12">
        <f aca="true" t="shared" si="18" ref="L35:L45">80*K35/K$56</f>
        <v>5.663899532505523</v>
      </c>
      <c r="M35" s="7"/>
      <c r="N35" s="15"/>
      <c r="O35" s="10">
        <f aca="true" t="shared" si="19" ref="O35:O54">C4+E4+G4+I4+K4+M4+O4+C35+E35+G35+I35+K35+M35</f>
        <v>68035.4875</v>
      </c>
      <c r="P35" s="12">
        <f aca="true" t="shared" si="20" ref="P35:P45">O35*80/$O$56</f>
        <v>5.96129784239102</v>
      </c>
      <c r="Q35" s="18"/>
      <c r="R35" s="20"/>
      <c r="S35" s="2"/>
    </row>
    <row r="36" spans="1:18" ht="15">
      <c r="A36" s="20"/>
      <c r="B36" s="24" t="s">
        <v>32</v>
      </c>
      <c r="C36" s="8">
        <f>2858.8*1.25</f>
        <v>3573.5</v>
      </c>
      <c r="D36" s="13">
        <f t="shared" si="14"/>
        <v>4.547496427285233</v>
      </c>
      <c r="E36" s="8">
        <f>1.25*3211.28</f>
        <v>4014.1000000000004</v>
      </c>
      <c r="F36" s="13">
        <f t="shared" si="15"/>
        <v>6.30837339485442</v>
      </c>
      <c r="G36" s="8">
        <f>1.25*2352</f>
        <v>2940</v>
      </c>
      <c r="H36" s="13">
        <f t="shared" si="16"/>
        <v>3.5968813570519513</v>
      </c>
      <c r="I36" s="8">
        <f>1.25*4270.4</f>
        <v>5338</v>
      </c>
      <c r="J36" s="13">
        <f t="shared" si="17"/>
        <v>4.586789393500644</v>
      </c>
      <c r="K36" s="8">
        <f>1.25*6850.8</f>
        <v>8563.5</v>
      </c>
      <c r="L36" s="13">
        <f t="shared" si="18"/>
        <v>3.259358810074267</v>
      </c>
      <c r="M36" s="8"/>
      <c r="N36" s="16"/>
      <c r="O36" s="17">
        <f t="shared" si="19"/>
        <v>47871.1</v>
      </c>
      <c r="P36" s="13">
        <f t="shared" si="20"/>
        <v>4.194485784244359</v>
      </c>
      <c r="Q36" s="18"/>
      <c r="R36" s="20"/>
    </row>
    <row r="37" spans="1:18" ht="15">
      <c r="A37" s="20"/>
      <c r="B37" s="24" t="s">
        <v>33</v>
      </c>
      <c r="C37" s="8">
        <f>3315.36*1.25</f>
        <v>4144.2</v>
      </c>
      <c r="D37" s="13">
        <f t="shared" si="14"/>
        <v>5.273746941081702</v>
      </c>
      <c r="E37" s="8">
        <f>1.25*3129.6</f>
        <v>3912</v>
      </c>
      <c r="F37" s="13">
        <f t="shared" si="15"/>
        <v>6.147917770028273</v>
      </c>
      <c r="G37" s="8">
        <f>1.25*5200.88</f>
        <v>6501.1</v>
      </c>
      <c r="H37" s="13">
        <f t="shared" si="16"/>
        <v>7.953634486506953</v>
      </c>
      <c r="I37" s="8">
        <f>1.25*4968.96</f>
        <v>6211.2</v>
      </c>
      <c r="J37" s="13">
        <f t="shared" si="17"/>
        <v>5.337104960830124</v>
      </c>
      <c r="K37" s="8">
        <f>1.25*9734.97</f>
        <v>12168.7125</v>
      </c>
      <c r="L37" s="13">
        <f t="shared" si="18"/>
        <v>4.631540876293088</v>
      </c>
      <c r="M37" s="8"/>
      <c r="N37" s="16"/>
      <c r="O37" s="17">
        <f t="shared" si="19"/>
        <v>63407.612499999996</v>
      </c>
      <c r="P37" s="13">
        <f t="shared" si="20"/>
        <v>5.5558015012006186</v>
      </c>
      <c r="Q37" s="18"/>
      <c r="R37" s="20"/>
    </row>
    <row r="38" spans="1:18" ht="15">
      <c r="A38" s="20"/>
      <c r="B38" s="24" t="s">
        <v>34</v>
      </c>
      <c r="C38" s="8">
        <f>3112.8*1.25</f>
        <v>3891</v>
      </c>
      <c r="D38" s="13">
        <f t="shared" si="14"/>
        <v>4.95153451757852</v>
      </c>
      <c r="E38" s="8">
        <f>1.25*2740.4</f>
        <v>3425.5</v>
      </c>
      <c r="F38" s="13">
        <f t="shared" si="15"/>
        <v>5.383356932830227</v>
      </c>
      <c r="G38" s="8">
        <f>1.25*9417.2</f>
        <v>11771.5</v>
      </c>
      <c r="H38" s="13">
        <f t="shared" si="16"/>
        <v>14.40159486208743</v>
      </c>
      <c r="I38" s="8">
        <f>1.25*14241.92</f>
        <v>17802.4</v>
      </c>
      <c r="J38" s="13">
        <f t="shared" si="17"/>
        <v>15.297088703419982</v>
      </c>
      <c r="K38" s="8">
        <f>1.25*27609.6</f>
        <v>34512</v>
      </c>
      <c r="L38" s="13">
        <f t="shared" si="18"/>
        <v>13.135632773198237</v>
      </c>
      <c r="M38" s="8"/>
      <c r="N38" s="16"/>
      <c r="O38" s="17">
        <f t="shared" si="19"/>
        <v>98230.1</v>
      </c>
      <c r="P38" s="13">
        <f t="shared" si="20"/>
        <v>8.606962406021625</v>
      </c>
      <c r="Q38" s="18"/>
      <c r="R38" s="2"/>
    </row>
    <row r="39" spans="1:18" ht="15">
      <c r="A39" s="20"/>
      <c r="B39" s="24" t="s">
        <v>35</v>
      </c>
      <c r="C39" s="8">
        <f>3893.6*1.25</f>
        <v>4867</v>
      </c>
      <c r="D39" s="13">
        <f t="shared" si="14"/>
        <v>6.193553969944657</v>
      </c>
      <c r="E39" s="8">
        <f>1.25*3563.2</f>
        <v>4454</v>
      </c>
      <c r="F39" s="13">
        <f t="shared" si="15"/>
        <v>6.999699833258162</v>
      </c>
      <c r="G39" s="8">
        <f>1.25*4449.6</f>
        <v>5562</v>
      </c>
      <c r="H39" s="13">
        <f t="shared" si="16"/>
        <v>6.804712281606447</v>
      </c>
      <c r="I39" s="8">
        <f>1.25*4665.68</f>
        <v>5832.1</v>
      </c>
      <c r="J39" s="13">
        <f t="shared" si="17"/>
        <v>5.011355268234377</v>
      </c>
      <c r="K39" s="8">
        <f>1.25*10226.4</f>
        <v>12783</v>
      </c>
      <c r="L39" s="13">
        <f t="shared" si="18"/>
        <v>4.8653452057195485</v>
      </c>
      <c r="M39" s="8"/>
      <c r="N39" s="16"/>
      <c r="O39" s="17">
        <f t="shared" si="19"/>
        <v>74579.9</v>
      </c>
      <c r="P39" s="13">
        <f t="shared" si="20"/>
        <v>6.534722000128801</v>
      </c>
      <c r="Q39" s="18"/>
      <c r="R39" s="20"/>
    </row>
    <row r="40" spans="1:18" ht="15">
      <c r="A40" s="20"/>
      <c r="B40" s="24" t="s">
        <v>36</v>
      </c>
      <c r="C40" s="8">
        <f>729.6*1.25</f>
        <v>912</v>
      </c>
      <c r="D40" s="13">
        <f t="shared" si="14"/>
        <v>1.160575553850324</v>
      </c>
      <c r="E40" s="8">
        <f>1.25*116</f>
        <v>145</v>
      </c>
      <c r="F40" s="13">
        <f t="shared" si="15"/>
        <v>0.22787527521832812</v>
      </c>
      <c r="G40" s="8">
        <f>464*1.25</f>
        <v>580</v>
      </c>
      <c r="H40" s="13">
        <f t="shared" si="16"/>
        <v>0.7095888391463033</v>
      </c>
      <c r="I40" s="8">
        <f>1.25*2212.4</f>
        <v>2765.5</v>
      </c>
      <c r="J40" s="13">
        <f t="shared" si="17"/>
        <v>2.3763143626313283</v>
      </c>
      <c r="K40" s="8">
        <f>1.25*1912</f>
        <v>2390</v>
      </c>
      <c r="L40" s="13">
        <f t="shared" si="18"/>
        <v>0.909659316410054</v>
      </c>
      <c r="M40" s="8"/>
      <c r="N40" s="16"/>
      <c r="O40" s="17">
        <f t="shared" si="19"/>
        <v>14295.7</v>
      </c>
      <c r="P40" s="13">
        <f t="shared" si="20"/>
        <v>1.2525952072507647</v>
      </c>
      <c r="Q40" s="18"/>
      <c r="R40" s="20"/>
    </row>
    <row r="41" spans="1:18" ht="15">
      <c r="A41" s="20"/>
      <c r="B41" s="24" t="s">
        <v>37</v>
      </c>
      <c r="C41" s="8">
        <f>6468*1.25</f>
        <v>8085</v>
      </c>
      <c r="D41" s="13">
        <f t="shared" si="14"/>
        <v>10.28865499219284</v>
      </c>
      <c r="E41" s="8">
        <f>1.25*4078.4</f>
        <v>5098</v>
      </c>
      <c r="F41" s="13">
        <f t="shared" si="15"/>
        <v>8.011780365951978</v>
      </c>
      <c r="G41" s="8">
        <f>1.25*1980</f>
        <v>2475</v>
      </c>
      <c r="H41" s="13">
        <f t="shared" si="16"/>
        <v>3.0279868567018977</v>
      </c>
      <c r="I41" s="8">
        <f>1.25*1540</f>
        <v>1925</v>
      </c>
      <c r="J41" s="13">
        <f t="shared" si="17"/>
        <v>1.654096961874998</v>
      </c>
      <c r="K41" s="8">
        <f>1.25*3890.4</f>
        <v>4863</v>
      </c>
      <c r="L41" s="13">
        <f t="shared" si="18"/>
        <v>1.850909312009244</v>
      </c>
      <c r="M41" s="8"/>
      <c r="N41" s="16"/>
      <c r="O41" s="17">
        <f t="shared" si="19"/>
        <v>81782</v>
      </c>
      <c r="P41" s="13">
        <f t="shared" si="20"/>
        <v>7.165773011421759</v>
      </c>
      <c r="Q41" s="18"/>
      <c r="R41" s="20"/>
    </row>
    <row r="42" spans="1:18" ht="15">
      <c r="A42" s="20"/>
      <c r="B42" s="24" t="s">
        <v>38</v>
      </c>
      <c r="C42" s="8">
        <f>7242.96*1.25</f>
        <v>9053.7</v>
      </c>
      <c r="D42" s="13">
        <f t="shared" si="14"/>
        <v>11.521384749884515</v>
      </c>
      <c r="E42" s="8">
        <f>1.25*7849.36</f>
        <v>9811.699999999999</v>
      </c>
      <c r="F42" s="13">
        <f t="shared" si="15"/>
        <v>15.419612674894273</v>
      </c>
      <c r="G42" s="8">
        <f>1.25*9618.4</f>
        <v>12023</v>
      </c>
      <c r="H42" s="13">
        <f t="shared" si="16"/>
        <v>14.709287263889664</v>
      </c>
      <c r="I42" s="8">
        <f>1.25*13501.6</f>
        <v>16877</v>
      </c>
      <c r="J42" s="13">
        <f t="shared" si="17"/>
        <v>14.501919182111347</v>
      </c>
      <c r="K42" s="8">
        <f>1.25*28359.76</f>
        <v>35449.7</v>
      </c>
      <c r="L42" s="13">
        <f t="shared" si="18"/>
        <v>13.492531325916943</v>
      </c>
      <c r="M42" s="8"/>
      <c r="N42" s="16"/>
      <c r="O42" s="17">
        <f t="shared" si="19"/>
        <v>159375.05</v>
      </c>
      <c r="P42" s="13">
        <f t="shared" si="20"/>
        <v>13.964508473551557</v>
      </c>
      <c r="Q42" s="18"/>
      <c r="R42" s="20"/>
    </row>
    <row r="43" spans="1:18" ht="15">
      <c r="A43" s="20"/>
      <c r="B43" s="24" t="s">
        <v>39</v>
      </c>
      <c r="C43" s="8">
        <f>10348.8*1.25-C44</f>
        <v>10690</v>
      </c>
      <c r="D43" s="13">
        <f t="shared" si="14"/>
        <v>13.603676173969257</v>
      </c>
      <c r="E43" s="8">
        <f>1.25*6205.6-E44</f>
        <v>7201</v>
      </c>
      <c r="F43" s="13">
        <f t="shared" si="15"/>
        <v>11.316757633428832</v>
      </c>
      <c r="G43" s="8">
        <f>1.25*8393.2-G44</f>
        <v>9012.5</v>
      </c>
      <c r="H43" s="13">
        <f t="shared" si="16"/>
        <v>11.026154160010446</v>
      </c>
      <c r="I43" s="8">
        <f>1.25*7711.12-I44</f>
        <v>8365.9</v>
      </c>
      <c r="J43" s="13">
        <f t="shared" si="17"/>
        <v>7.188576505636387</v>
      </c>
      <c r="K43" s="8">
        <f>1.25*21984-K44</f>
        <v>22593</v>
      </c>
      <c r="L43" s="13">
        <f t="shared" si="18"/>
        <v>8.599135119519811</v>
      </c>
      <c r="M43" s="8"/>
      <c r="N43" s="16"/>
      <c r="O43" s="17">
        <f t="shared" si="19"/>
        <v>110944.4</v>
      </c>
      <c r="P43" s="13">
        <f t="shared" si="20"/>
        <v>9.720994684507351</v>
      </c>
      <c r="Q43" s="18"/>
      <c r="R43" s="20"/>
    </row>
    <row r="44" spans="1:18" ht="15">
      <c r="A44" s="20"/>
      <c r="B44" s="24" t="s">
        <v>40</v>
      </c>
      <c r="C44" s="8">
        <f>1796.8*1.25</f>
        <v>2246</v>
      </c>
      <c r="D44" s="13">
        <f t="shared" si="14"/>
        <v>2.8581718135392844</v>
      </c>
      <c r="E44" s="8">
        <f>1.25*444.8</f>
        <v>556</v>
      </c>
      <c r="F44" s="13">
        <f t="shared" si="15"/>
        <v>0.8737838139406237</v>
      </c>
      <c r="G44" s="8">
        <f>1.25*1183.2</f>
        <v>1479</v>
      </c>
      <c r="H44" s="13">
        <f t="shared" si="16"/>
        <v>1.8094515398230735</v>
      </c>
      <c r="I44" s="8">
        <f>1.25*1018.4</f>
        <v>1273</v>
      </c>
      <c r="J44" s="13">
        <f t="shared" si="17"/>
        <v>1.0938521727100636</v>
      </c>
      <c r="K44" s="8">
        <f>1.25*3909.6</f>
        <v>4887</v>
      </c>
      <c r="L44" s="13">
        <f t="shared" si="18"/>
        <v>1.8600439662326085</v>
      </c>
      <c r="M44" s="8"/>
      <c r="N44" s="16"/>
      <c r="O44" s="17">
        <f t="shared" si="19"/>
        <v>18551.1</v>
      </c>
      <c r="P44" s="13">
        <f t="shared" si="20"/>
        <v>1.6254551333078942</v>
      </c>
      <c r="Q44" s="18"/>
      <c r="R44" s="20"/>
    </row>
    <row r="45" spans="1:18" ht="15">
      <c r="A45" s="20"/>
      <c r="B45" s="24" t="s">
        <v>41</v>
      </c>
      <c r="C45" s="8">
        <f>3357.76*1.25</f>
        <v>4197.200000000001</v>
      </c>
      <c r="D45" s="13">
        <f t="shared" si="14"/>
        <v>5.34119266954011</v>
      </c>
      <c r="E45" s="8">
        <f>1.25*2072.8</f>
        <v>2591</v>
      </c>
      <c r="F45" s="13">
        <f t="shared" si="15"/>
        <v>4.071895435108194</v>
      </c>
      <c r="G45" s="8">
        <f>1.25*2186</f>
        <v>2732.5</v>
      </c>
      <c r="H45" s="13">
        <f t="shared" si="16"/>
        <v>3.3430198327021965</v>
      </c>
      <c r="I45" s="8">
        <f>1.25*3246.48</f>
        <v>4058.1</v>
      </c>
      <c r="J45" s="13">
        <f t="shared" si="17"/>
        <v>3.487008249862301</v>
      </c>
      <c r="K45" s="8">
        <f>1.25*12586.16</f>
        <v>15732.7</v>
      </c>
      <c r="L45" s="13">
        <f t="shared" si="18"/>
        <v>5.988032270830317</v>
      </c>
      <c r="M45" s="8"/>
      <c r="N45" s="16"/>
      <c r="O45" s="17">
        <f t="shared" si="19"/>
        <v>55254.3</v>
      </c>
      <c r="P45" s="13">
        <f t="shared" si="20"/>
        <v>4.841404853207323</v>
      </c>
      <c r="Q45" s="18"/>
      <c r="R45" s="20"/>
    </row>
    <row r="46" spans="1:18" ht="15">
      <c r="A46" s="20"/>
      <c r="B46" s="24" t="s">
        <v>42</v>
      </c>
      <c r="C46" s="8">
        <f>1.25*1319.2</f>
        <v>1649</v>
      </c>
      <c r="D46" s="13">
        <f>100*C46/C$56</f>
        <v>2.6230661846205923</v>
      </c>
      <c r="E46" s="8">
        <f>1.25*1851.2</f>
        <v>2314</v>
      </c>
      <c r="F46" s="13">
        <f>100*E46/E$56</f>
        <v>4.545718852200097</v>
      </c>
      <c r="G46" s="8">
        <f>1.25*2562.4</f>
        <v>3203</v>
      </c>
      <c r="H46" s="13">
        <f>100*G46/G$56</f>
        <v>4.898303990917262</v>
      </c>
      <c r="I46" s="8">
        <f>1.25*3284.4</f>
        <v>4105.5</v>
      </c>
      <c r="J46" s="13">
        <f>100*I46/I$56</f>
        <v>4.409672127907665</v>
      </c>
      <c r="K46" s="8">
        <f>1.25*8142.4</f>
        <v>10178</v>
      </c>
      <c r="L46" s="13">
        <f>100*K46/K$56</f>
        <v>4.842318264864817</v>
      </c>
      <c r="M46" s="8"/>
      <c r="N46" s="16"/>
      <c r="O46" s="17">
        <f t="shared" si="19"/>
        <v>37227.5</v>
      </c>
      <c r="P46" s="13">
        <f>O46*100/$O$56</f>
        <v>4.077361381213218</v>
      </c>
      <c r="Q46" s="18"/>
      <c r="R46" s="20"/>
    </row>
    <row r="47" spans="1:18" ht="15">
      <c r="A47" s="20"/>
      <c r="B47" s="24" t="s">
        <v>43</v>
      </c>
      <c r="C47" s="8">
        <f>1.25*4513.6</f>
        <v>5642</v>
      </c>
      <c r="D47" s="13">
        <f aca="true" t="shared" si="21" ref="D47:D54">80*C47/C$56</f>
        <v>7.179788678534569</v>
      </c>
      <c r="E47" s="8">
        <f>1.25*2597.6</f>
        <v>3247</v>
      </c>
      <c r="F47" s="13">
        <f aca="true" t="shared" si="22" ref="F47:F54">80*E47/E$56</f>
        <v>5.102834611268355</v>
      </c>
      <c r="G47" s="8">
        <f>1.25*4296</f>
        <v>5370</v>
      </c>
      <c r="H47" s="13">
        <f aca="true" t="shared" si="23" ref="H47:H54">80*G47/G$56</f>
        <v>6.56981390726836</v>
      </c>
      <c r="I47" s="8">
        <f>1.25*3206.4</f>
        <v>4008</v>
      </c>
      <c r="J47" s="13">
        <f aca="true" t="shared" si="24" ref="J47:J54">80*I47/I$56</f>
        <v>3.4439587652960997</v>
      </c>
      <c r="K47" s="8">
        <f>1.25*5260.8</f>
        <v>6576</v>
      </c>
      <c r="L47" s="13">
        <f aca="true" t="shared" si="25" ref="L47:L54">80*K47/K$56</f>
        <v>2.502895257201889</v>
      </c>
      <c r="M47" s="8"/>
      <c r="N47" s="16"/>
      <c r="O47" s="17">
        <f t="shared" si="19"/>
        <v>62052</v>
      </c>
      <c r="P47" s="13">
        <f aca="true" t="shared" si="26" ref="P47:P54">O47*80/$O$56</f>
        <v>5.43702216752761</v>
      </c>
      <c r="Q47" s="18"/>
      <c r="R47" s="20"/>
    </row>
    <row r="48" spans="1:18" ht="15">
      <c r="A48" s="20"/>
      <c r="B48" s="24" t="s">
        <v>44</v>
      </c>
      <c r="C48" s="8">
        <f>1.25*4890.4</f>
        <v>6113</v>
      </c>
      <c r="D48" s="13">
        <f t="shared" si="21"/>
        <v>7.779164869174375</v>
      </c>
      <c r="E48" s="8">
        <f>1.25*3223.6</f>
        <v>4029.5</v>
      </c>
      <c r="F48" s="13">
        <f t="shared" si="22"/>
        <v>6.332575320636229</v>
      </c>
      <c r="G48" s="8">
        <f>1.25*3708</f>
        <v>4635</v>
      </c>
      <c r="H48" s="13">
        <f t="shared" si="23"/>
        <v>5.670593568005373</v>
      </c>
      <c r="I48" s="8">
        <f>1.25*6528.96</f>
        <v>8161.2</v>
      </c>
      <c r="J48" s="13">
        <f t="shared" si="24"/>
        <v>7.012683701430771</v>
      </c>
      <c r="K48" s="8">
        <f>1.25*10860.8</f>
        <v>13576</v>
      </c>
      <c r="L48" s="13">
        <f t="shared" si="25"/>
        <v>5.167169405683219</v>
      </c>
      <c r="M48" s="8"/>
      <c r="N48" s="16"/>
      <c r="O48" s="17">
        <f t="shared" si="19"/>
        <v>70811.4</v>
      </c>
      <c r="P48" s="13">
        <f t="shared" si="26"/>
        <v>6.20452445551577</v>
      </c>
      <c r="Q48" s="18"/>
      <c r="R48" s="20"/>
    </row>
    <row r="49" spans="1:18" ht="15">
      <c r="A49" s="20"/>
      <c r="B49" s="24" t="s">
        <v>45</v>
      </c>
      <c r="C49" s="8">
        <f>1.25*1432</f>
        <v>1790</v>
      </c>
      <c r="D49" s="13">
        <f t="shared" si="21"/>
        <v>2.2778840366141226</v>
      </c>
      <c r="E49" s="8">
        <f>1.25*566.88</f>
        <v>708.6</v>
      </c>
      <c r="F49" s="13">
        <f t="shared" si="22"/>
        <v>1.1136028966876366</v>
      </c>
      <c r="G49" s="8">
        <f>1.25*684.48</f>
        <v>855.6</v>
      </c>
      <c r="H49" s="13">
        <f t="shared" si="23"/>
        <v>1.0467658806440985</v>
      </c>
      <c r="I49" s="8">
        <f>1.25*1711.44</f>
        <v>2139.3</v>
      </c>
      <c r="J49" s="13">
        <f t="shared" si="24"/>
        <v>1.838238769111264</v>
      </c>
      <c r="K49" s="8">
        <f>1.25*3717.6</f>
        <v>4647</v>
      </c>
      <c r="L49" s="13">
        <f t="shared" si="25"/>
        <v>1.7686974239989628</v>
      </c>
      <c r="M49" s="8"/>
      <c r="N49" s="16"/>
      <c r="O49" s="17">
        <f t="shared" si="19"/>
        <v>20512.2</v>
      </c>
      <c r="P49" s="13">
        <f t="shared" si="26"/>
        <v>1.7972875347250667</v>
      </c>
      <c r="Q49" s="18"/>
      <c r="R49" s="20"/>
    </row>
    <row r="50" spans="1:18" ht="15">
      <c r="A50" s="20"/>
      <c r="B50" s="24" t="s">
        <v>46</v>
      </c>
      <c r="C50" s="8">
        <f>1.25*1852.8</f>
        <v>2316</v>
      </c>
      <c r="D50" s="13">
        <f t="shared" si="21"/>
        <v>2.947251077540954</v>
      </c>
      <c r="E50" s="8">
        <f>1.25*1757.92</f>
        <v>2197.4</v>
      </c>
      <c r="F50" s="13">
        <f t="shared" si="22"/>
        <v>3.453331929412098</v>
      </c>
      <c r="G50" s="8">
        <f>1.25*2148.8</f>
        <v>2686</v>
      </c>
      <c r="H50" s="13">
        <f t="shared" si="23"/>
        <v>3.286130382667191</v>
      </c>
      <c r="I50" s="8">
        <f>1.25*4828.4</f>
        <v>6035.5</v>
      </c>
      <c r="J50" s="13">
        <f t="shared" si="24"/>
        <v>5.18613101994626</v>
      </c>
      <c r="K50" s="8">
        <f>1.25*11674.72</f>
        <v>14593.4</v>
      </c>
      <c r="L50" s="13">
        <f t="shared" si="25"/>
        <v>5.554402622635348</v>
      </c>
      <c r="M50" s="8"/>
      <c r="N50" s="16"/>
      <c r="O50" s="17">
        <f t="shared" si="19"/>
        <v>50019.00000000001</v>
      </c>
      <c r="P50" s="13">
        <f t="shared" si="26"/>
        <v>4.382685679713201</v>
      </c>
      <c r="Q50" s="18"/>
      <c r="R50" s="20"/>
    </row>
    <row r="51" spans="1:18" ht="15">
      <c r="A51" s="20"/>
      <c r="B51" s="24" t="s">
        <v>47</v>
      </c>
      <c r="C51" s="8">
        <v>0</v>
      </c>
      <c r="D51" s="13">
        <f t="shared" si="21"/>
        <v>0</v>
      </c>
      <c r="E51" s="8">
        <f>1.25*325.2</f>
        <v>406.5</v>
      </c>
      <c r="F51" s="13">
        <f t="shared" si="22"/>
        <v>0.6388365474224164</v>
      </c>
      <c r="G51" s="8">
        <f>1.25*1341.12</f>
        <v>1676.3999999999999</v>
      </c>
      <c r="H51" s="13">
        <f t="shared" si="23"/>
        <v>2.050956430939419</v>
      </c>
      <c r="I51" s="8">
        <f>1.25*9256.4</f>
        <v>11570.5</v>
      </c>
      <c r="J51" s="13">
        <f t="shared" si="24"/>
        <v>9.94219682980502</v>
      </c>
      <c r="K51" s="8">
        <f>1.25*21673.04</f>
        <v>27091.300000000003</v>
      </c>
      <c r="L51" s="13">
        <f t="shared" si="25"/>
        <v>10.311235748393178</v>
      </c>
      <c r="M51" s="8"/>
      <c r="N51" s="16"/>
      <c r="O51" s="17">
        <f t="shared" si="19"/>
        <v>41662.8</v>
      </c>
      <c r="P51" s="13">
        <f t="shared" si="26"/>
        <v>3.650511944196308</v>
      </c>
      <c r="Q51" s="18"/>
      <c r="R51" s="20"/>
    </row>
    <row r="52" spans="1:18" ht="15">
      <c r="A52" s="20"/>
      <c r="B52" s="24" t="s">
        <v>48</v>
      </c>
      <c r="C52" s="8">
        <v>368</v>
      </c>
      <c r="D52" s="13">
        <f t="shared" si="21"/>
        <v>0.4683024164659202</v>
      </c>
      <c r="E52" s="8">
        <v>36</v>
      </c>
      <c r="F52" s="13">
        <f t="shared" si="22"/>
        <v>0.056575930399033185</v>
      </c>
      <c r="G52" s="8">
        <v>79.5</v>
      </c>
      <c r="H52" s="13">
        <f t="shared" si="23"/>
        <v>0.09726260812436399</v>
      </c>
      <c r="I52" s="8">
        <v>524</v>
      </c>
      <c r="J52" s="13">
        <f t="shared" si="24"/>
        <v>0.4502580820896099</v>
      </c>
      <c r="K52" s="8">
        <v>2880.5</v>
      </c>
      <c r="L52" s="13">
        <f t="shared" si="25"/>
        <v>1.0963488121000673</v>
      </c>
      <c r="M52" s="8"/>
      <c r="N52" s="16"/>
      <c r="O52" s="17">
        <f t="shared" si="19"/>
        <v>5413</v>
      </c>
      <c r="P52" s="13">
        <f t="shared" si="26"/>
        <v>0.47428932174348853</v>
      </c>
      <c r="Q52" s="18"/>
      <c r="R52" s="20"/>
    </row>
    <row r="53" spans="1:18" ht="15">
      <c r="A53" s="20"/>
      <c r="B53" s="24" t="s">
        <v>49</v>
      </c>
      <c r="C53" s="8">
        <f>1.25*2098</f>
        <v>2622.5</v>
      </c>
      <c r="D53" s="13">
        <f t="shared" si="21"/>
        <v>3.337290997776836</v>
      </c>
      <c r="E53" s="8">
        <f>1.25*2909.6</f>
        <v>3637</v>
      </c>
      <c r="F53" s="13">
        <f t="shared" si="22"/>
        <v>5.715740523924548</v>
      </c>
      <c r="G53" s="8">
        <f>1.25*2853.2</f>
        <v>3566.5</v>
      </c>
      <c r="H53" s="13">
        <f t="shared" si="23"/>
        <v>4.36335964623326</v>
      </c>
      <c r="I53" s="8">
        <f>1.25*4208.8</f>
        <v>5261</v>
      </c>
      <c r="J53" s="13">
        <f t="shared" si="24"/>
        <v>4.520625515025644</v>
      </c>
      <c r="K53" s="8">
        <f>1.25*10686.56</f>
        <v>13358.199999999999</v>
      </c>
      <c r="L53" s="13">
        <f t="shared" si="25"/>
        <v>5.084272418606186</v>
      </c>
      <c r="M53" s="8"/>
      <c r="N53" s="16"/>
      <c r="O53" s="17">
        <f t="shared" si="19"/>
        <v>58653.799999999996</v>
      </c>
      <c r="P53" s="13">
        <f t="shared" si="26"/>
        <v>5.139270463639059</v>
      </c>
      <c r="Q53" s="18"/>
      <c r="R53" s="20"/>
    </row>
    <row r="54" spans="1:18" ht="15.75" thickBot="1">
      <c r="A54" s="20"/>
      <c r="B54" s="24" t="s">
        <v>50</v>
      </c>
      <c r="C54" s="8">
        <f>1.25*49.2</f>
        <v>61.5</v>
      </c>
      <c r="D54" s="13">
        <f t="shared" si="21"/>
        <v>0.0782624962300383</v>
      </c>
      <c r="E54" s="8">
        <f>1.25*44.4</f>
        <v>55.5</v>
      </c>
      <c r="F54" s="13">
        <f t="shared" si="22"/>
        <v>0.08722122603184283</v>
      </c>
      <c r="G54" s="8">
        <f>1.25*68.8</f>
        <v>86</v>
      </c>
      <c r="H54" s="13">
        <f t="shared" si="23"/>
        <v>0.10521489683893463</v>
      </c>
      <c r="I54" s="8">
        <f>1.25*83.2</f>
        <v>104</v>
      </c>
      <c r="J54" s="13">
        <f t="shared" si="24"/>
        <v>0.0893641994987012</v>
      </c>
      <c r="K54" s="8">
        <f>1.25*233.2</f>
        <v>291.5</v>
      </c>
      <c r="L54" s="13">
        <f t="shared" si="25"/>
        <v>0.11094798775461538</v>
      </c>
      <c r="M54" s="8"/>
      <c r="N54" s="16"/>
      <c r="O54" s="17">
        <f t="shared" si="19"/>
        <v>1254.8</v>
      </c>
      <c r="P54" s="13">
        <f t="shared" si="26"/>
        <v>0.10994610029996849</v>
      </c>
      <c r="Q54" s="18"/>
      <c r="R54" s="20"/>
    </row>
    <row r="55" spans="1:18" ht="16.5" thickBot="1" thickTop="1">
      <c r="A55" s="20"/>
      <c r="B55" s="3" t="s">
        <v>9</v>
      </c>
      <c r="C55" s="7">
        <f>SUM(C35:C54)</f>
        <v>78489.7</v>
      </c>
      <c r="D55" s="12"/>
      <c r="E55" s="7">
        <f>SUM(E35:E54)</f>
        <v>63622.299999999996</v>
      </c>
      <c r="F55" s="12"/>
      <c r="G55" s="7">
        <f>SUM(G35:G54)</f>
        <v>81717.6</v>
      </c>
      <c r="H55" s="12"/>
      <c r="I55" s="7">
        <f>SUM(I35:I54)</f>
        <v>116246.70000000001</v>
      </c>
      <c r="J55" s="12"/>
      <c r="K55" s="7">
        <f>SUM(K35:K54)</f>
        <v>262015.60000000003</v>
      </c>
      <c r="L55" s="12"/>
      <c r="M55" s="7">
        <f>SUM(M35:M54)</f>
        <v>0</v>
      </c>
      <c r="N55" s="11"/>
      <c r="O55" s="10">
        <f>SUM(O35:O54)</f>
        <v>1139933.25</v>
      </c>
      <c r="P55" s="12"/>
      <c r="Q55" s="18"/>
      <c r="R55" s="20"/>
    </row>
    <row r="56" spans="1:18" ht="16.5" thickBot="1" thickTop="1">
      <c r="A56" s="20"/>
      <c r="B56" s="3" t="s">
        <v>10</v>
      </c>
      <c r="C56" s="7">
        <f>C55*0.8+C52*0.2</f>
        <v>62865.36</v>
      </c>
      <c r="D56" s="12"/>
      <c r="E56" s="7">
        <f>E55*0.8+E52*0.2</f>
        <v>50905.03999999999</v>
      </c>
      <c r="F56" s="12"/>
      <c r="G56" s="7">
        <f>G55*0.8+G52*0.2</f>
        <v>65389.98000000001</v>
      </c>
      <c r="H56" s="12"/>
      <c r="I56" s="7">
        <f>I55*0.8+I52*0.2</f>
        <v>93102.16000000002</v>
      </c>
      <c r="J56" s="12"/>
      <c r="K56" s="7">
        <f>K55*0.8+K52*0.2</f>
        <v>210188.58000000005</v>
      </c>
      <c r="L56" s="12"/>
      <c r="M56" s="7">
        <f>M55*0.8+M46*0.2</f>
        <v>0</v>
      </c>
      <c r="N56" s="11"/>
      <c r="O56" s="10">
        <f>O55*0.8+O52*0.2</f>
        <v>913029.2000000001</v>
      </c>
      <c r="P56" s="12"/>
      <c r="Q56" s="18"/>
      <c r="R56" s="20"/>
    </row>
    <row r="57" spans="1:18" ht="16.5" thickBot="1" thickTop="1">
      <c r="A57" s="20"/>
      <c r="B57" s="5"/>
      <c r="C57" s="9"/>
      <c r="D57" s="11"/>
      <c r="E57" s="9"/>
      <c r="F57" s="11"/>
      <c r="G57" s="9"/>
      <c r="H57" s="11"/>
      <c r="I57" s="9"/>
      <c r="J57" s="11"/>
      <c r="K57" s="9"/>
      <c r="L57" s="11"/>
      <c r="M57" s="9"/>
      <c r="N57" s="11"/>
      <c r="O57" s="9"/>
      <c r="P57" s="11"/>
      <c r="Q57" s="20"/>
      <c r="R57" s="20"/>
    </row>
    <row r="58" spans="1:18" ht="16.5" thickBot="1" thickTop="1">
      <c r="A58" s="20"/>
      <c r="B58" s="3" t="s">
        <v>11</v>
      </c>
      <c r="C58" s="10"/>
      <c r="D58" s="11">
        <v>26</v>
      </c>
      <c r="E58" s="10"/>
      <c r="F58" s="11">
        <v>26</v>
      </c>
      <c r="G58" s="10"/>
      <c r="H58" s="11">
        <v>27</v>
      </c>
      <c r="I58" s="10"/>
      <c r="J58" s="11">
        <v>25</v>
      </c>
      <c r="K58" s="10"/>
      <c r="L58" s="11">
        <v>24</v>
      </c>
      <c r="M58" s="10"/>
      <c r="N58" s="11"/>
      <c r="O58" s="10"/>
      <c r="P58" s="11">
        <f>SUM(A27:P27)+SUM(A58:N58)</f>
        <v>302</v>
      </c>
      <c r="Q58" s="18"/>
      <c r="R58" s="20"/>
    </row>
    <row r="59" spans="1:18" ht="16.5" thickBot="1" thickTop="1">
      <c r="A59" s="20"/>
      <c r="B59" s="3" t="s">
        <v>12</v>
      </c>
      <c r="C59" s="10">
        <f>C55/D58</f>
        <v>3018.834615384615</v>
      </c>
      <c r="D59" s="9"/>
      <c r="E59" s="10">
        <f>E55/F58</f>
        <v>2447.0115384615383</v>
      </c>
      <c r="F59" s="9"/>
      <c r="G59" s="10">
        <f>G55/H58</f>
        <v>3026.577777777778</v>
      </c>
      <c r="H59" s="9"/>
      <c r="I59" s="10">
        <f>I55/J58</f>
        <v>4649.868</v>
      </c>
      <c r="J59" s="9"/>
      <c r="K59" s="10">
        <f>K55/L58</f>
        <v>10917.316666666668</v>
      </c>
      <c r="L59" s="9"/>
      <c r="M59" s="10"/>
      <c r="N59" s="9"/>
      <c r="O59" s="10">
        <f>O55/P58</f>
        <v>3774.6134105960264</v>
      </c>
      <c r="P59" s="9"/>
      <c r="Q59" s="19"/>
      <c r="R59" s="20"/>
    </row>
    <row r="60" spans="1:18" ht="16.5" thickBot="1" thickTop="1">
      <c r="A60" s="20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1"/>
      <c r="Q60" s="20"/>
      <c r="R60" s="20"/>
    </row>
    <row r="61" spans="1:19" ht="16.5" thickBot="1" thickTop="1">
      <c r="A61" s="20"/>
      <c r="B61" s="3" t="s">
        <v>56</v>
      </c>
      <c r="C61" s="10">
        <v>3357</v>
      </c>
      <c r="D61" s="9"/>
      <c r="E61" s="10">
        <v>2843</v>
      </c>
      <c r="F61" s="9"/>
      <c r="G61" s="10">
        <v>2824</v>
      </c>
      <c r="H61" s="9"/>
      <c r="I61" s="10">
        <v>4413</v>
      </c>
      <c r="J61" s="9"/>
      <c r="K61" s="10">
        <v>11989</v>
      </c>
      <c r="L61" s="9"/>
      <c r="M61" s="10"/>
      <c r="N61" s="9"/>
      <c r="O61" s="10">
        <v>3921</v>
      </c>
      <c r="P61" s="9"/>
      <c r="Q61" s="19"/>
      <c r="R61" s="23"/>
      <c r="S61" s="2"/>
    </row>
    <row r="62" spans="1:19" ht="16.5" thickBot="1" thickTop="1">
      <c r="A62" s="20"/>
      <c r="B62" s="3" t="s">
        <v>52</v>
      </c>
      <c r="C62" s="10">
        <v>2976</v>
      </c>
      <c r="D62" s="9"/>
      <c r="E62" s="10">
        <v>3101</v>
      </c>
      <c r="F62" s="9"/>
      <c r="G62" s="10">
        <v>3301</v>
      </c>
      <c r="H62" s="9"/>
      <c r="I62" s="10">
        <v>4652</v>
      </c>
      <c r="J62" s="9"/>
      <c r="K62" s="10">
        <v>11128</v>
      </c>
      <c r="L62" s="9"/>
      <c r="M62" s="10"/>
      <c r="N62" s="9"/>
      <c r="O62" s="10">
        <v>3895</v>
      </c>
      <c r="P62" s="9"/>
      <c r="Q62" s="19"/>
      <c r="R62" s="23"/>
      <c r="S62" s="2"/>
    </row>
    <row r="63" spans="1:18" ht="15.75" thickTop="1">
      <c r="A63" s="20"/>
      <c r="B63" s="5"/>
      <c r="C63" s="9"/>
      <c r="D63" s="11"/>
      <c r="E63" s="9"/>
      <c r="F63" s="11"/>
      <c r="G63" s="9"/>
      <c r="H63" s="11"/>
      <c r="I63" s="9"/>
      <c r="J63" s="11"/>
      <c r="K63" s="9"/>
      <c r="L63" s="11"/>
      <c r="M63" s="9"/>
      <c r="N63" s="11"/>
      <c r="O63" s="9"/>
      <c r="P63" s="11"/>
      <c r="Q63" s="20"/>
      <c r="R63" s="20"/>
    </row>
    <row r="64" spans="1:18" ht="15">
      <c r="A64" s="20"/>
      <c r="B64" s="21"/>
      <c r="C64" s="23"/>
      <c r="D64" s="20"/>
      <c r="E64" s="23"/>
      <c r="F64" s="20"/>
      <c r="G64" s="23"/>
      <c r="H64" s="20"/>
      <c r="I64" s="23"/>
      <c r="J64" s="23" t="s">
        <v>20</v>
      </c>
      <c r="K64" s="23"/>
      <c r="L64" s="20" t="s">
        <v>55</v>
      </c>
      <c r="M64" s="23" t="s">
        <v>21</v>
      </c>
      <c r="N64" s="20"/>
      <c r="O64" s="23">
        <v>1164609</v>
      </c>
      <c r="P64" s="20"/>
      <c r="Q64" s="20"/>
      <c r="R64" s="20"/>
    </row>
    <row r="65" spans="1:18" ht="15">
      <c r="A65" s="20"/>
      <c r="B65" s="21"/>
      <c r="C65" s="23"/>
      <c r="D65" s="20"/>
      <c r="E65" s="23"/>
      <c r="F65" s="20"/>
      <c r="G65" s="23"/>
      <c r="H65" s="20"/>
      <c r="I65" s="23"/>
      <c r="J65" s="23" t="s">
        <v>20</v>
      </c>
      <c r="K65" s="23"/>
      <c r="L65" s="20" t="s">
        <v>53</v>
      </c>
      <c r="M65" s="23" t="s">
        <v>21</v>
      </c>
      <c r="N65" s="20"/>
      <c r="O65" s="23">
        <v>1164567</v>
      </c>
      <c r="P65" s="20"/>
      <c r="Q65" s="20"/>
      <c r="R65" s="20"/>
    </row>
    <row r="66" spans="1:18" ht="15">
      <c r="A66" s="20"/>
      <c r="B66" s="21"/>
      <c r="C66" s="23"/>
      <c r="D66" s="20"/>
      <c r="E66" s="23"/>
      <c r="F66" s="20"/>
      <c r="G66" s="23"/>
      <c r="H66" s="20"/>
      <c r="I66" s="23"/>
      <c r="J66" s="20"/>
      <c r="K66" s="23"/>
      <c r="L66" s="20"/>
      <c r="M66" s="23"/>
      <c r="N66" s="20"/>
      <c r="O66" s="23"/>
      <c r="P66" s="20"/>
      <c r="Q66" s="20"/>
      <c r="R66" s="20"/>
    </row>
    <row r="67" spans="1:18" ht="15">
      <c r="A67" s="20"/>
      <c r="B67" s="21" t="s">
        <v>22</v>
      </c>
      <c r="C67" s="23"/>
      <c r="D67" s="23" t="s">
        <v>26</v>
      </c>
      <c r="E67" s="23"/>
      <c r="F67" s="20"/>
      <c r="G67" s="23"/>
      <c r="H67" s="20"/>
      <c r="I67" s="23"/>
      <c r="J67" s="20"/>
      <c r="K67" s="23"/>
      <c r="L67" s="20"/>
      <c r="M67" s="23"/>
      <c r="N67" s="20"/>
      <c r="O67" s="23"/>
      <c r="P67" s="20"/>
      <c r="Q67" s="20"/>
      <c r="R67" s="20"/>
    </row>
    <row r="68" spans="1:18" ht="15">
      <c r="A68" s="20"/>
      <c r="B68" s="21" t="s">
        <v>23</v>
      </c>
      <c r="C68" s="23"/>
      <c r="D68" t="s">
        <v>27</v>
      </c>
      <c r="E68" s="23"/>
      <c r="F68" s="20"/>
      <c r="G68" s="23"/>
      <c r="H68" s="20"/>
      <c r="I68" s="23"/>
      <c r="J68" s="20"/>
      <c r="K68" s="23"/>
      <c r="L68" s="20"/>
      <c r="M68" s="23"/>
      <c r="N68" s="20"/>
      <c r="O68" s="23"/>
      <c r="P68" s="20"/>
      <c r="Q68" s="20"/>
      <c r="R68" s="20"/>
    </row>
    <row r="69" spans="1:18" ht="15">
      <c r="A69" s="20"/>
      <c r="B69" s="21" t="s">
        <v>24</v>
      </c>
      <c r="C69" s="23"/>
      <c r="D69" t="s">
        <v>29</v>
      </c>
      <c r="E69" s="23"/>
      <c r="F69" s="20"/>
      <c r="G69" s="23"/>
      <c r="H69" s="20"/>
      <c r="I69" s="23"/>
      <c r="J69" s="20"/>
      <c r="K69" s="23"/>
      <c r="L69" s="20"/>
      <c r="M69" s="23"/>
      <c r="N69" s="20"/>
      <c r="O69" s="23"/>
      <c r="P69" s="20"/>
      <c r="Q69" s="20"/>
      <c r="R69" s="20"/>
    </row>
    <row r="70" spans="1:18" ht="15">
      <c r="A70" s="20"/>
      <c r="B70" s="21" t="s">
        <v>25</v>
      </c>
      <c r="C70" s="23"/>
      <c r="D70" t="s">
        <v>28</v>
      </c>
      <c r="E70" s="23"/>
      <c r="F70" s="20"/>
      <c r="G70" s="23"/>
      <c r="H70" s="20"/>
      <c r="I70" s="23"/>
      <c r="J70" s="20"/>
      <c r="K70" s="23"/>
      <c r="L70" s="20"/>
      <c r="M70" s="23"/>
      <c r="N70" s="20"/>
      <c r="O70" s="23"/>
      <c r="P70" s="20"/>
      <c r="Q70" s="20"/>
      <c r="R70" s="20"/>
    </row>
    <row r="71" spans="1:18" ht="15">
      <c r="A71" s="20"/>
      <c r="B71" s="21"/>
      <c r="C71" s="23"/>
      <c r="E71" s="23"/>
      <c r="F71" s="20"/>
      <c r="G71" s="23"/>
      <c r="H71" s="20"/>
      <c r="I71" s="23"/>
      <c r="J71" s="20"/>
      <c r="K71" s="23"/>
      <c r="L71" s="20"/>
      <c r="M71" s="23"/>
      <c r="N71" s="20"/>
      <c r="O71" s="23"/>
      <c r="P71" s="20"/>
      <c r="Q71" s="20"/>
      <c r="R71" s="20"/>
    </row>
    <row r="72" spans="1:18" ht="15">
      <c r="A72" s="20"/>
      <c r="B72" s="21"/>
      <c r="C72" s="22"/>
      <c r="D72" s="20"/>
      <c r="E72" s="22"/>
      <c r="F72" s="20"/>
      <c r="G72" s="22"/>
      <c r="H72" s="20"/>
      <c r="I72" s="22"/>
      <c r="J72" s="20"/>
      <c r="K72" s="22"/>
      <c r="L72" s="20"/>
      <c r="M72" s="22"/>
      <c r="N72" s="20"/>
      <c r="O72" s="22"/>
      <c r="P72" s="20"/>
      <c r="Q72" s="20"/>
      <c r="R72" s="20"/>
    </row>
    <row r="73" spans="1:18" ht="15">
      <c r="A73" s="20"/>
      <c r="B73" s="21"/>
      <c r="C73" s="22"/>
      <c r="D73" s="20"/>
      <c r="E73" s="22"/>
      <c r="F73" s="20"/>
      <c r="G73" s="22"/>
      <c r="H73" s="20"/>
      <c r="I73" s="22"/>
      <c r="J73" s="20"/>
      <c r="K73" s="22"/>
      <c r="L73" s="20"/>
      <c r="M73" s="22"/>
      <c r="N73" s="20"/>
      <c r="O73" s="22"/>
      <c r="P73" s="20"/>
      <c r="Q73" s="20"/>
      <c r="R73" s="20"/>
    </row>
    <row r="74" spans="1:18" ht="15">
      <c r="A74" s="20"/>
      <c r="B74" s="21"/>
      <c r="C74" s="22"/>
      <c r="D74" s="20"/>
      <c r="E74" s="22"/>
      <c r="F74" s="20"/>
      <c r="G74" s="22"/>
      <c r="H74" s="20"/>
      <c r="I74" s="22"/>
      <c r="J74" s="20"/>
      <c r="K74" s="22"/>
      <c r="L74" s="20"/>
      <c r="M74" s="22"/>
      <c r="N74" s="20"/>
      <c r="O74" s="22"/>
      <c r="P74" s="20"/>
      <c r="Q74" s="20"/>
      <c r="R74" s="20"/>
    </row>
    <row r="75" spans="3:15" ht="15">
      <c r="C75" s="1"/>
      <c r="E75" s="1"/>
      <c r="G75" s="1"/>
      <c r="I75" s="1"/>
      <c r="K75" s="1"/>
      <c r="M75" s="1"/>
      <c r="O75" s="1"/>
    </row>
    <row r="76" spans="3:15" ht="15">
      <c r="C76" s="1"/>
      <c r="E76" s="1"/>
      <c r="G76" s="1"/>
      <c r="I76" s="1"/>
      <c r="K76" s="1"/>
      <c r="M76" s="1"/>
      <c r="O76" s="1"/>
    </row>
    <row r="77" spans="3:15" ht="15">
      <c r="C77" s="1"/>
      <c r="E77" s="1"/>
      <c r="G77" s="1"/>
      <c r="I77" s="1"/>
      <c r="K77" s="1"/>
      <c r="M77" s="1"/>
      <c r="O77" s="1"/>
    </row>
    <row r="78" spans="3:15" ht="15">
      <c r="C78" s="1"/>
      <c r="E78" s="1"/>
      <c r="G78" s="1"/>
      <c r="I78" s="1"/>
      <c r="K78" s="1"/>
      <c r="M78" s="1"/>
      <c r="O78" s="1"/>
    </row>
    <row r="79" spans="3:15" ht="15">
      <c r="C79" s="1"/>
      <c r="E79" s="1"/>
      <c r="G79" s="1"/>
      <c r="I79" s="1"/>
      <c r="K79" s="1"/>
      <c r="M79" s="1"/>
      <c r="O79" s="1"/>
    </row>
    <row r="80" spans="3:15" ht="15">
      <c r="C80" s="1"/>
      <c r="E80" s="1"/>
      <c r="G80" s="1"/>
      <c r="I80" s="1"/>
      <c r="K80" s="1"/>
      <c r="M80" s="1"/>
      <c r="O80" s="1"/>
    </row>
    <row r="81" spans="3:15" ht="15">
      <c r="C81" s="1"/>
      <c r="E81" s="1"/>
      <c r="G81" s="1"/>
      <c r="I81" s="1"/>
      <c r="K81" s="1"/>
      <c r="M81" s="1"/>
      <c r="O81" s="1"/>
    </row>
    <row r="82" spans="3:15" ht="15">
      <c r="C82" s="1"/>
      <c r="E82" s="1"/>
      <c r="G82" s="1"/>
      <c r="I82" s="1"/>
      <c r="K82" s="1"/>
      <c r="M82" s="1"/>
      <c r="O82" s="1"/>
    </row>
    <row r="83" spans="3:15" ht="15">
      <c r="C83" s="1"/>
      <c r="E83" s="1"/>
      <c r="G83" s="1"/>
      <c r="I83" s="1"/>
      <c r="K83" s="1"/>
      <c r="M83" s="1"/>
      <c r="O83" s="1"/>
    </row>
    <row r="84" spans="3:15" ht="15">
      <c r="C84" s="1"/>
      <c r="E84" s="1"/>
      <c r="G84" s="1"/>
      <c r="I84" s="1"/>
      <c r="K84" s="1"/>
      <c r="M84" s="1"/>
      <c r="O84" s="1"/>
    </row>
    <row r="85" spans="3:15" ht="15">
      <c r="C85" s="1"/>
      <c r="E85" s="1"/>
      <c r="G85" s="1"/>
      <c r="I85" s="1"/>
      <c r="K85" s="1"/>
      <c r="M85" s="1"/>
      <c r="O85" s="1"/>
    </row>
    <row r="86" spans="3:15" ht="15">
      <c r="C86" s="1"/>
      <c r="E86" s="1"/>
      <c r="G86" s="1"/>
      <c r="I86" s="1"/>
      <c r="K86" s="1"/>
      <c r="M86" s="1"/>
      <c r="O86" s="1"/>
    </row>
    <row r="87" spans="3:15" ht="15">
      <c r="C87" s="1"/>
      <c r="E87" s="1"/>
      <c r="G87" s="1"/>
      <c r="I87" s="1"/>
      <c r="K87" s="1"/>
      <c r="M87" s="1"/>
      <c r="O87" s="1"/>
    </row>
    <row r="88" spans="3:15" ht="15">
      <c r="C88" s="1"/>
      <c r="E88" s="1"/>
      <c r="G88" s="1"/>
      <c r="I88" s="1"/>
      <c r="K88" s="1"/>
      <c r="M88" s="1"/>
      <c r="O88" s="1"/>
    </row>
    <row r="89" spans="3:15" ht="15">
      <c r="C89" s="1"/>
      <c r="E89" s="1"/>
      <c r="G89" s="1"/>
      <c r="I89" s="1"/>
      <c r="K89" s="1"/>
      <c r="M89" s="1"/>
      <c r="O89" s="1"/>
    </row>
    <row r="90" spans="3:15" ht="15">
      <c r="C90" s="1"/>
      <c r="E90" s="1"/>
      <c r="G90" s="1"/>
      <c r="I90" s="1"/>
      <c r="K90" s="1"/>
      <c r="M90" s="1"/>
      <c r="O90" s="1"/>
    </row>
    <row r="91" spans="3:15" ht="15">
      <c r="C91" s="1"/>
      <c r="E91" s="1"/>
      <c r="G91" s="1"/>
      <c r="I91" s="1"/>
      <c r="K91" s="1"/>
      <c r="M91" s="1"/>
      <c r="O91" s="1"/>
    </row>
    <row r="92" spans="3:13" ht="15">
      <c r="C92" s="1"/>
      <c r="E92" s="2"/>
      <c r="G92" s="1"/>
      <c r="I92" s="1"/>
      <c r="K92" s="1"/>
      <c r="M92" s="1"/>
    </row>
    <row r="93" spans="3:13" ht="15">
      <c r="C93" s="1"/>
      <c r="E93" s="2"/>
      <c r="G93" s="1"/>
      <c r="I93" s="1"/>
      <c r="K93" s="1"/>
      <c r="M93" s="1"/>
    </row>
    <row r="94" spans="3:13" ht="15">
      <c r="C94" s="1"/>
      <c r="E94" s="2"/>
      <c r="G94" s="1"/>
      <c r="I94" s="1"/>
      <c r="K94" s="1"/>
      <c r="M94" s="1"/>
    </row>
    <row r="95" spans="3:13" ht="15">
      <c r="C95" s="1"/>
      <c r="E95" s="2"/>
      <c r="G95" s="1"/>
      <c r="I95" s="1"/>
      <c r="K95" s="1"/>
      <c r="M95" s="1"/>
    </row>
    <row r="96" spans="3:13" ht="15">
      <c r="C96" s="1"/>
      <c r="E96" s="2"/>
      <c r="G96" s="1"/>
      <c r="I96" s="1"/>
      <c r="K96" s="1"/>
      <c r="M96" s="1"/>
    </row>
    <row r="97" spans="3:13" ht="15">
      <c r="C97" s="1"/>
      <c r="E97" s="2"/>
      <c r="G97" s="1"/>
      <c r="I97" s="1"/>
      <c r="K97" s="1"/>
      <c r="M97" s="1"/>
    </row>
    <row r="98" spans="3:13" ht="15">
      <c r="C98" s="1"/>
      <c r="E98" s="2"/>
      <c r="G98" s="1"/>
      <c r="I98" s="1"/>
      <c r="K98" s="1"/>
      <c r="M98" s="1"/>
    </row>
    <row r="99" spans="3:13" ht="15">
      <c r="C99" s="1"/>
      <c r="E99" s="2"/>
      <c r="G99" s="1"/>
      <c r="I99" s="1"/>
      <c r="K99" s="1"/>
      <c r="M99" s="1"/>
    </row>
    <row r="100" spans="3:13" ht="15">
      <c r="C100" s="1"/>
      <c r="E100" s="2"/>
      <c r="G100" s="1"/>
      <c r="I100" s="1"/>
      <c r="K100" s="1"/>
      <c r="M100" s="1"/>
    </row>
    <row r="101" spans="3:13" ht="15">
      <c r="C101" s="1"/>
      <c r="E101" s="2"/>
      <c r="G101" s="1"/>
      <c r="I101" s="1"/>
      <c r="K101" s="1"/>
      <c r="M101" s="1"/>
    </row>
    <row r="102" spans="3:13" ht="15">
      <c r="C102" s="1"/>
      <c r="E102" s="2"/>
      <c r="G102" s="1"/>
      <c r="I102" s="1"/>
      <c r="K102" s="1"/>
      <c r="M102" s="1"/>
    </row>
    <row r="103" spans="3:13" ht="15">
      <c r="C103" s="2"/>
      <c r="E103" s="2"/>
      <c r="G103" s="1"/>
      <c r="I103" s="1"/>
      <c r="K103" s="1"/>
      <c r="M103" s="1"/>
    </row>
    <row r="104" spans="3:13" ht="15">
      <c r="C104" s="1"/>
      <c r="E104" s="1"/>
      <c r="G104" s="1"/>
      <c r="I104" s="1"/>
      <c r="K104" s="1"/>
      <c r="M104" s="1"/>
    </row>
    <row r="105" spans="3:13" ht="15">
      <c r="C105" s="1"/>
      <c r="E105" s="1"/>
      <c r="G105" s="1"/>
      <c r="I105" s="1"/>
      <c r="K105" s="1"/>
      <c r="M105" s="1"/>
    </row>
    <row r="106" spans="3:13" ht="15">
      <c r="C106" s="1"/>
      <c r="E106" s="1"/>
      <c r="G106" s="1"/>
      <c r="I106" s="1"/>
      <c r="K106" s="1"/>
      <c r="M106" s="1"/>
    </row>
    <row r="107" spans="3:13" ht="15">
      <c r="C107" s="1"/>
      <c r="E107" s="1"/>
      <c r="G107" s="1"/>
      <c r="I107" s="1"/>
      <c r="K107" s="1"/>
      <c r="M107" s="1"/>
    </row>
    <row r="108" spans="3:13" ht="15">
      <c r="C108" s="1"/>
      <c r="E108" s="1"/>
      <c r="G108" s="1"/>
      <c r="I108" s="1"/>
      <c r="K108" s="1"/>
      <c r="M108" s="1"/>
    </row>
    <row r="109" spans="3:13" ht="15">
      <c r="C109" s="1"/>
      <c r="E109" s="1"/>
      <c r="G109" s="1"/>
      <c r="I109" s="1"/>
      <c r="K109" s="1"/>
      <c r="M109" s="1"/>
    </row>
    <row r="110" spans="3:13" ht="15">
      <c r="C110" s="1"/>
      <c r="E110" s="1"/>
      <c r="G110" s="1"/>
      <c r="I110" s="1"/>
      <c r="K110" s="1"/>
      <c r="M110" s="1"/>
    </row>
    <row r="111" spans="3:13" ht="15">
      <c r="C111" s="1"/>
      <c r="E111" s="1"/>
      <c r="G111" s="1"/>
      <c r="I111" s="1"/>
      <c r="K111" s="1"/>
      <c r="M111" s="1"/>
    </row>
    <row r="112" spans="3:13" ht="15">
      <c r="C112" s="1"/>
      <c r="E112" s="1"/>
      <c r="G112" s="1"/>
      <c r="I112" s="1"/>
      <c r="K112" s="1"/>
      <c r="M112" s="1"/>
    </row>
    <row r="113" spans="3:13" ht="15">
      <c r="C113" s="1"/>
      <c r="E113" s="1"/>
      <c r="G113" s="1"/>
      <c r="I113" s="1"/>
      <c r="K113" s="1"/>
      <c r="M113" s="1"/>
    </row>
    <row r="114" spans="3:13" ht="15">
      <c r="C114" s="1"/>
      <c r="E114" s="1"/>
      <c r="G114" s="1"/>
      <c r="I114" s="1"/>
      <c r="K114" s="1"/>
      <c r="M114" s="1"/>
    </row>
    <row r="115" spans="3:13" ht="15">
      <c r="C115" s="1"/>
      <c r="E115" s="1"/>
      <c r="G115" s="1"/>
      <c r="I115" s="1"/>
      <c r="K115" s="1"/>
      <c r="M115" s="1"/>
    </row>
    <row r="116" spans="3:13" ht="15">
      <c r="C116" s="1"/>
      <c r="E116" s="1"/>
      <c r="G116" s="1"/>
      <c r="I116" s="1"/>
      <c r="K116" s="1"/>
      <c r="M116" s="1"/>
    </row>
    <row r="117" spans="3:13" ht="15">
      <c r="C117" s="1"/>
      <c r="E117" s="1"/>
      <c r="G117" s="1"/>
      <c r="I117" s="1"/>
      <c r="K117" s="1"/>
      <c r="M117" s="1"/>
    </row>
    <row r="118" spans="3:13" ht="15">
      <c r="C118" s="1"/>
      <c r="E118" s="1"/>
      <c r="G118" s="1"/>
      <c r="I118" s="1"/>
      <c r="K118" s="1"/>
      <c r="M118" s="1"/>
    </row>
    <row r="119" spans="3:13" ht="15">
      <c r="C119" s="1"/>
      <c r="E119" s="1"/>
      <c r="G119" s="1"/>
      <c r="I119" s="1"/>
      <c r="K119" s="1"/>
      <c r="M119" s="1"/>
    </row>
    <row r="120" spans="3:13" ht="15">
      <c r="C120" s="1"/>
      <c r="E120" s="1"/>
      <c r="G120" s="1"/>
      <c r="I120" s="1"/>
      <c r="K120" s="1"/>
      <c r="M120" s="1"/>
    </row>
    <row r="121" spans="3:13" ht="15">
      <c r="C121" s="1"/>
      <c r="E121" s="1"/>
      <c r="G121" s="1"/>
      <c r="I121" s="1"/>
      <c r="K121" s="1"/>
      <c r="M121" s="1"/>
    </row>
    <row r="122" spans="3:13" ht="15">
      <c r="C122" s="1"/>
      <c r="E122" s="1"/>
      <c r="G122" s="1"/>
      <c r="I122" s="1"/>
      <c r="K122" s="1"/>
      <c r="M122" s="1"/>
    </row>
    <row r="123" spans="3:13" ht="15">
      <c r="C123" s="1"/>
      <c r="E123" s="1"/>
      <c r="G123" s="1"/>
      <c r="I123" s="1"/>
      <c r="K123" s="1"/>
      <c r="M123" s="1"/>
    </row>
    <row r="124" spans="3:13" ht="15">
      <c r="C124" s="1"/>
      <c r="E124" s="1"/>
      <c r="G124" s="1"/>
      <c r="I124" s="1"/>
      <c r="K124" s="1"/>
      <c r="M124" s="1"/>
    </row>
    <row r="125" spans="3:13" ht="15">
      <c r="C125" s="1"/>
      <c r="E125" s="1"/>
      <c r="G125" s="1"/>
      <c r="I125" s="1"/>
      <c r="K125" s="1"/>
      <c r="M125" s="1"/>
    </row>
    <row r="126" spans="3:13" ht="15">
      <c r="C126" s="1"/>
      <c r="E126" s="1"/>
      <c r="G126" s="1"/>
      <c r="I126" s="1"/>
      <c r="K126" s="1"/>
      <c r="M126" s="1"/>
    </row>
    <row r="127" spans="3:13" ht="15">
      <c r="C127" s="1"/>
      <c r="E127" s="1"/>
      <c r="G127" s="1"/>
      <c r="I127" s="1"/>
      <c r="K127" s="1"/>
      <c r="M127" s="1"/>
    </row>
    <row r="128" spans="3:13" ht="15">
      <c r="C128" s="1"/>
      <c r="E128" s="1"/>
      <c r="G128" s="1"/>
      <c r="I128" s="1"/>
      <c r="K128" s="1"/>
      <c r="M128" s="1"/>
    </row>
    <row r="129" spans="3:13" ht="15">
      <c r="C129" s="1"/>
      <c r="E129" s="1"/>
      <c r="G129" s="1"/>
      <c r="I129" s="1"/>
      <c r="K129" s="1"/>
      <c r="M129" s="1"/>
    </row>
    <row r="130" spans="3:13" ht="15">
      <c r="C130" s="1"/>
      <c r="E130" s="1"/>
      <c r="G130" s="1"/>
      <c r="I130" s="1"/>
      <c r="K130" s="1"/>
      <c r="M130" s="1"/>
    </row>
    <row r="131" spans="3:13" ht="15">
      <c r="C131" s="1"/>
      <c r="E131" s="1"/>
      <c r="G131" s="1"/>
      <c r="I131" s="1"/>
      <c r="K131" s="1"/>
      <c r="M131" s="1"/>
    </row>
    <row r="132" spans="3:13" ht="15">
      <c r="C132" s="1"/>
      <c r="E132" s="1"/>
      <c r="G132" s="1"/>
      <c r="I132" s="1"/>
      <c r="K132" s="1"/>
      <c r="M132" s="1"/>
    </row>
    <row r="133" spans="3:13" ht="15">
      <c r="C133" s="1"/>
      <c r="E133" s="1"/>
      <c r="G133" s="1"/>
      <c r="I133" s="1"/>
      <c r="K133" s="1"/>
      <c r="M133" s="1"/>
    </row>
    <row r="134" spans="3:13" ht="15">
      <c r="C134" s="1"/>
      <c r="E134" s="1"/>
      <c r="G134" s="1"/>
      <c r="I134" s="1"/>
      <c r="K134" s="1"/>
      <c r="M134" s="1"/>
    </row>
    <row r="135" spans="3:13" ht="15">
      <c r="C135" s="1"/>
      <c r="E135" s="1"/>
      <c r="G135" s="1"/>
      <c r="I135" s="1"/>
      <c r="K135" s="1"/>
      <c r="M135" s="1"/>
    </row>
    <row r="136" spans="3:13" ht="15">
      <c r="C136" s="1"/>
      <c r="E136" s="1"/>
      <c r="G136" s="1"/>
      <c r="I136" s="1"/>
      <c r="K136" s="1"/>
      <c r="M136" s="1"/>
    </row>
    <row r="137" spans="3:13" ht="15">
      <c r="C137" s="1"/>
      <c r="E137" s="1"/>
      <c r="G137" s="1"/>
      <c r="I137" s="1"/>
      <c r="K137" s="1"/>
      <c r="M137" s="1"/>
    </row>
    <row r="138" spans="3:13" ht="15">
      <c r="C138" s="1"/>
      <c r="E138" s="1"/>
      <c r="G138" s="1"/>
      <c r="I138" s="1"/>
      <c r="K138" s="1"/>
      <c r="M138" s="1"/>
    </row>
    <row r="139" spans="3:13" ht="15">
      <c r="C139" s="1"/>
      <c r="E139" s="1"/>
      <c r="G139" s="1"/>
      <c r="I139" s="1"/>
      <c r="K139" s="1"/>
      <c r="M139" s="1"/>
    </row>
    <row r="140" spans="3:13" ht="15">
      <c r="C140" s="1"/>
      <c r="E140" s="1"/>
      <c r="G140" s="1"/>
      <c r="I140" s="1"/>
      <c r="K140" s="1"/>
      <c r="M140" s="1"/>
    </row>
    <row r="141" spans="3:13" ht="15">
      <c r="C141" s="1"/>
      <c r="E141" s="1"/>
      <c r="G141" s="1"/>
      <c r="I141" s="1"/>
      <c r="K141" s="1"/>
      <c r="M141" s="1"/>
    </row>
    <row r="142" spans="3:13" ht="15">
      <c r="C142" s="1"/>
      <c r="E142" s="1"/>
      <c r="G142" s="1"/>
      <c r="I142" s="1"/>
      <c r="K142" s="1"/>
      <c r="M142" s="1"/>
    </row>
    <row r="143" spans="3:13" ht="15">
      <c r="C143" s="1"/>
      <c r="E143" s="1"/>
      <c r="G143" s="1"/>
      <c r="I143" s="1"/>
      <c r="K143" s="1"/>
      <c r="M143" s="1"/>
    </row>
    <row r="144" spans="3:13" ht="15">
      <c r="C144" s="1"/>
      <c r="E144" s="1"/>
      <c r="G144" s="1"/>
      <c r="I144" s="1"/>
      <c r="K144" s="1"/>
      <c r="M144" s="1"/>
    </row>
    <row r="145" spans="3:13" ht="15">
      <c r="C145" s="1"/>
      <c r="E145" s="1"/>
      <c r="G145" s="1"/>
      <c r="I145" s="1"/>
      <c r="K145" s="1"/>
      <c r="M145" s="1"/>
    </row>
    <row r="146" spans="3:13" ht="15">
      <c r="C146" s="1"/>
      <c r="E146" s="1"/>
      <c r="G146" s="1"/>
      <c r="I146" s="1"/>
      <c r="K146" s="1"/>
      <c r="M146" s="1"/>
    </row>
    <row r="147" spans="3:13" ht="15">
      <c r="C147" s="1"/>
      <c r="E147" s="1"/>
      <c r="G147" s="1"/>
      <c r="I147" s="1"/>
      <c r="K147" s="1"/>
      <c r="M147" s="1"/>
    </row>
    <row r="148" spans="3:13" ht="15">
      <c r="C148" s="1"/>
      <c r="E148" s="1"/>
      <c r="G148" s="1"/>
      <c r="I148" s="1"/>
      <c r="K148" s="1"/>
      <c r="M148" s="1"/>
    </row>
    <row r="149" spans="3:13" ht="15">
      <c r="C149" s="1"/>
      <c r="E149" s="1"/>
      <c r="G149" s="1"/>
      <c r="I149" s="1"/>
      <c r="K149" s="1"/>
      <c r="M149" s="1"/>
    </row>
    <row r="150" spans="3:13" ht="15">
      <c r="C150" s="1"/>
      <c r="E150" s="1"/>
      <c r="G150" s="1"/>
      <c r="I150" s="1"/>
      <c r="K150" s="1"/>
      <c r="M150" s="1"/>
    </row>
    <row r="151" spans="3:13" ht="15">
      <c r="C151" s="1"/>
      <c r="E151" s="1"/>
      <c r="G151" s="1"/>
      <c r="I151" s="1"/>
      <c r="K151" s="1"/>
      <c r="M151" s="1"/>
    </row>
    <row r="152" spans="3:13" ht="15">
      <c r="C152" s="1"/>
      <c r="E152" s="1"/>
      <c r="G152" s="1"/>
      <c r="I152" s="1"/>
      <c r="K152" s="1"/>
      <c r="M152" s="1"/>
    </row>
    <row r="153" spans="3:13" ht="15">
      <c r="C153" s="1"/>
      <c r="E153" s="1"/>
      <c r="G153" s="1"/>
      <c r="I153" s="1"/>
      <c r="K153" s="1"/>
      <c r="M153" s="1"/>
    </row>
    <row r="154" spans="3:13" ht="15">
      <c r="C154" s="1"/>
      <c r="E154" s="1"/>
      <c r="G154" s="1"/>
      <c r="I154" s="1"/>
      <c r="K154" s="1"/>
      <c r="M154" s="1"/>
    </row>
    <row r="155" spans="3:13" ht="15">
      <c r="C155" s="1"/>
      <c r="E155" s="1"/>
      <c r="G155" s="1"/>
      <c r="I155" s="1"/>
      <c r="K155" s="1"/>
      <c r="M155" s="1"/>
    </row>
    <row r="156" spans="3:13" ht="15">
      <c r="C156" s="1"/>
      <c r="E156" s="1"/>
      <c r="G156" s="1"/>
      <c r="I156" s="1"/>
      <c r="K156" s="1"/>
      <c r="M156" s="1"/>
    </row>
    <row r="157" spans="3:13" ht="15">
      <c r="C157" s="1"/>
      <c r="E157" s="1"/>
      <c r="G157" s="1"/>
      <c r="I157" s="1"/>
      <c r="K157" s="1"/>
      <c r="M157" s="1"/>
    </row>
    <row r="158" spans="3:13" ht="15">
      <c r="C158" s="1"/>
      <c r="E158" s="1"/>
      <c r="G158" s="1"/>
      <c r="I158" s="1"/>
      <c r="K158" s="1"/>
      <c r="M158" s="1"/>
    </row>
    <row r="159" spans="3:13" ht="15">
      <c r="C159" s="1"/>
      <c r="E159" s="1"/>
      <c r="G159" s="1"/>
      <c r="I159" s="1"/>
      <c r="K159" s="1"/>
      <c r="M159" s="1"/>
    </row>
    <row r="160" spans="3:13" ht="15">
      <c r="C160" s="1"/>
      <c r="E160" s="1"/>
      <c r="G160" s="1"/>
      <c r="I160" s="1"/>
      <c r="K160" s="1"/>
      <c r="M160" s="1"/>
    </row>
    <row r="161" spans="3:13" ht="15">
      <c r="C161" s="1"/>
      <c r="E161" s="1"/>
      <c r="G161" s="1"/>
      <c r="I161" s="1"/>
      <c r="K161" s="1"/>
      <c r="M161" s="1"/>
    </row>
    <row r="162" spans="3:13" ht="15">
      <c r="C162" s="1"/>
      <c r="E162" s="1"/>
      <c r="G162" s="1"/>
      <c r="I162" s="1"/>
      <c r="K162" s="1"/>
      <c r="M162" s="1"/>
    </row>
    <row r="163" spans="3:13" ht="15">
      <c r="C163" s="1"/>
      <c r="E163" s="1"/>
      <c r="G163" s="1"/>
      <c r="I163" s="1"/>
      <c r="K163" s="1"/>
      <c r="M163" s="1"/>
    </row>
    <row r="164" spans="3:13" ht="15">
      <c r="C164" s="1"/>
      <c r="E164" s="1"/>
      <c r="G164" s="1"/>
      <c r="I164" s="1"/>
      <c r="K164" s="1"/>
      <c r="M164" s="1"/>
    </row>
    <row r="165" spans="3:13" ht="15">
      <c r="C165" s="1"/>
      <c r="E165" s="1"/>
      <c r="G165" s="1"/>
      <c r="I165" s="1"/>
      <c r="K165" s="1"/>
      <c r="M165" s="1"/>
    </row>
    <row r="166" spans="3:13" ht="15">
      <c r="C166" s="1"/>
      <c r="E166" s="1"/>
      <c r="G166" s="1"/>
      <c r="I166" s="1"/>
      <c r="K166" s="1"/>
      <c r="M166" s="1"/>
    </row>
    <row r="167" spans="3:13" ht="15">
      <c r="C167" s="1"/>
      <c r="E167" s="1"/>
      <c r="G167" s="1"/>
      <c r="I167" s="1"/>
      <c r="K167" s="1"/>
      <c r="M167" s="1"/>
    </row>
    <row r="168" spans="3:13" ht="15">
      <c r="C168" s="1"/>
      <c r="E168" s="1"/>
      <c r="G168" s="1"/>
      <c r="I168" s="1"/>
      <c r="K168" s="1"/>
      <c r="M168" s="1"/>
    </row>
    <row r="169" spans="3:13" ht="15">
      <c r="C169" s="1"/>
      <c r="E169" s="1"/>
      <c r="G169" s="1"/>
      <c r="I169" s="1"/>
      <c r="K169" s="1"/>
      <c r="M169" s="1"/>
    </row>
    <row r="170" spans="3:13" ht="15">
      <c r="C170" s="1"/>
      <c r="E170" s="1"/>
      <c r="G170" s="1"/>
      <c r="I170" s="1"/>
      <c r="K170" s="1"/>
      <c r="M170" s="1"/>
    </row>
    <row r="171" spans="3:13" ht="15">
      <c r="C171" s="1"/>
      <c r="E171" s="1"/>
      <c r="G171" s="1"/>
      <c r="I171" s="1"/>
      <c r="K171" s="1"/>
      <c r="M171" s="1"/>
    </row>
    <row r="172" spans="3:13" ht="15">
      <c r="C172" s="1"/>
      <c r="E172" s="1"/>
      <c r="G172" s="1"/>
      <c r="I172" s="1"/>
      <c r="K172" s="1"/>
      <c r="M172" s="1"/>
    </row>
    <row r="173" spans="3:13" ht="15">
      <c r="C173" s="1"/>
      <c r="E173" s="1"/>
      <c r="G173" s="1"/>
      <c r="I173" s="1"/>
      <c r="K173" s="1"/>
      <c r="M173" s="1"/>
    </row>
    <row r="174" spans="3:13" ht="15">
      <c r="C174" s="1"/>
      <c r="E174" s="1"/>
      <c r="G174" s="1"/>
      <c r="I174" s="1"/>
      <c r="K174" s="1"/>
      <c r="M174" s="1"/>
    </row>
    <row r="175" spans="3:13" ht="15">
      <c r="C175" s="1"/>
      <c r="E175" s="1"/>
      <c r="G175" s="1"/>
      <c r="I175" s="1"/>
      <c r="K175" s="1"/>
      <c r="M175" s="1"/>
    </row>
    <row r="176" spans="3:13" ht="15">
      <c r="C176" s="1"/>
      <c r="E176" s="1"/>
      <c r="G176" s="1"/>
      <c r="I176" s="1"/>
      <c r="K176" s="1"/>
      <c r="M176" s="1"/>
    </row>
    <row r="177" spans="3:13" ht="15">
      <c r="C177" s="1"/>
      <c r="E177" s="1"/>
      <c r="G177" s="1"/>
      <c r="I177" s="1"/>
      <c r="K177" s="1"/>
      <c r="M177" s="1"/>
    </row>
    <row r="178" spans="3:13" ht="15">
      <c r="C178" s="1"/>
      <c r="E178" s="1"/>
      <c r="G178" s="1"/>
      <c r="I178" s="1"/>
      <c r="K178" s="1"/>
      <c r="M178" s="1"/>
    </row>
    <row r="179" spans="3:13" ht="15">
      <c r="C179" s="1"/>
      <c r="E179" s="1"/>
      <c r="G179" s="1"/>
      <c r="I179" s="1"/>
      <c r="K179" s="1"/>
      <c r="M179" s="1"/>
    </row>
    <row r="180" spans="3:13" ht="15">
      <c r="C180" s="1"/>
      <c r="E180" s="1"/>
      <c r="G180" s="1"/>
      <c r="I180" s="1"/>
      <c r="K180" s="1"/>
      <c r="M180" s="1"/>
    </row>
    <row r="181" spans="3:13" ht="15">
      <c r="C181" s="1"/>
      <c r="E181" s="1"/>
      <c r="G181" s="1"/>
      <c r="I181" s="1"/>
      <c r="K181" s="1"/>
      <c r="M181" s="1"/>
    </row>
    <row r="182" spans="3:13" ht="15">
      <c r="C182" s="1"/>
      <c r="E182" s="1"/>
      <c r="G182" s="1"/>
      <c r="I182" s="1"/>
      <c r="K182" s="1"/>
      <c r="M182" s="1"/>
    </row>
    <row r="183" spans="3:13" ht="15">
      <c r="C183" s="1"/>
      <c r="E183" s="1"/>
      <c r="G183" s="1"/>
      <c r="I183" s="1"/>
      <c r="K183" s="1"/>
      <c r="M183" s="1"/>
    </row>
    <row r="184" spans="3:13" ht="15">
      <c r="C184" s="1"/>
      <c r="E184" s="1"/>
      <c r="G184" s="1"/>
      <c r="I184" s="1"/>
      <c r="K184" s="1"/>
      <c r="M184" s="1"/>
    </row>
    <row r="185" spans="3:13" ht="15">
      <c r="C185" s="1"/>
      <c r="E185" s="1"/>
      <c r="G185" s="1"/>
      <c r="I185" s="1"/>
      <c r="K185" s="1"/>
      <c r="M185" s="1"/>
    </row>
    <row r="186" spans="3:13" ht="15">
      <c r="C186" s="1"/>
      <c r="E186" s="1"/>
      <c r="G186" s="1"/>
      <c r="I186" s="1"/>
      <c r="K186" s="1"/>
      <c r="M186" s="1"/>
    </row>
    <row r="187" spans="3:13" ht="15">
      <c r="C187" s="1"/>
      <c r="E187" s="1"/>
      <c r="G187" s="1"/>
      <c r="I187" s="1"/>
      <c r="K187" s="1"/>
      <c r="M187" s="1"/>
    </row>
    <row r="188" spans="3:13" ht="15">
      <c r="C188" s="1"/>
      <c r="E188" s="1"/>
      <c r="G188" s="1"/>
      <c r="I188" s="1"/>
      <c r="K188" s="1"/>
      <c r="M188" s="1"/>
    </row>
    <row r="189" spans="3:13" ht="15">
      <c r="C189" s="1"/>
      <c r="E189" s="1"/>
      <c r="G189" s="1"/>
      <c r="I189" s="1"/>
      <c r="K189" s="1"/>
      <c r="M189" s="1"/>
    </row>
    <row r="190" spans="3:13" ht="15">
      <c r="C190" s="1"/>
      <c r="E190" s="1"/>
      <c r="G190" s="1"/>
      <c r="I190" s="1"/>
      <c r="K190" s="1"/>
      <c r="M190" s="1"/>
    </row>
    <row r="191" spans="3:5" ht="15">
      <c r="C191" s="2"/>
      <c r="E191" s="2"/>
    </row>
    <row r="192" spans="3:5" ht="15">
      <c r="C192" s="2"/>
      <c r="E192" s="2"/>
    </row>
    <row r="193" spans="3:5" ht="15">
      <c r="C193" s="2"/>
      <c r="E193" s="2"/>
    </row>
    <row r="194" spans="3:5" ht="15">
      <c r="C194" s="2"/>
      <c r="E194" s="2"/>
    </row>
    <row r="195" spans="3:5" ht="15">
      <c r="C195" s="2"/>
      <c r="E195" s="2"/>
    </row>
    <row r="196" spans="3:5" ht="15">
      <c r="C196" s="2"/>
      <c r="E196" s="2"/>
    </row>
    <row r="197" spans="3:5" ht="15">
      <c r="C197" s="2"/>
      <c r="E197" s="2"/>
    </row>
    <row r="198" spans="3:5" ht="15">
      <c r="C198" s="2"/>
      <c r="E198" s="2"/>
    </row>
    <row r="199" spans="3:5" ht="15">
      <c r="C199" s="2"/>
      <c r="E199" s="2"/>
    </row>
    <row r="200" spans="3:5" ht="15">
      <c r="C200" s="2"/>
      <c r="E200" s="2"/>
    </row>
    <row r="201" spans="3:5" ht="15">
      <c r="C201" s="2"/>
      <c r="E201" s="2"/>
    </row>
    <row r="202" spans="3:5" ht="15">
      <c r="C202" s="2"/>
      <c r="E202" s="2"/>
    </row>
    <row r="203" spans="3:5" ht="15">
      <c r="C203" s="2"/>
      <c r="E203" s="2"/>
    </row>
    <row r="204" spans="3:5" ht="15">
      <c r="C204" s="2"/>
      <c r="E204" s="2"/>
    </row>
    <row r="205" spans="3:5" ht="15">
      <c r="C205" s="2"/>
      <c r="E205" s="2"/>
    </row>
    <row r="206" spans="3:5" ht="15">
      <c r="C206" s="2"/>
      <c r="E206" s="2"/>
    </row>
    <row r="207" spans="3:5" ht="15">
      <c r="C207" s="2"/>
      <c r="E207" s="2"/>
    </row>
    <row r="208" spans="3:5" ht="15">
      <c r="C208" s="2"/>
      <c r="E208" s="2"/>
    </row>
    <row r="209" spans="3:5" ht="15">
      <c r="C209" s="2"/>
      <c r="E209" s="2"/>
    </row>
    <row r="210" spans="3:5" ht="15">
      <c r="C210" s="2"/>
      <c r="E210" s="2"/>
    </row>
    <row r="211" spans="3:5" ht="15">
      <c r="C211" s="2"/>
      <c r="E211" s="2"/>
    </row>
    <row r="212" spans="3:5" ht="15">
      <c r="C212" s="2"/>
      <c r="E212" s="2"/>
    </row>
    <row r="213" spans="3:5" ht="15">
      <c r="C213" s="2"/>
      <c r="E213" s="2"/>
    </row>
    <row r="214" spans="3:5" ht="15">
      <c r="C214" s="2"/>
      <c r="E214" s="2"/>
    </row>
    <row r="215" spans="3:5" ht="15">
      <c r="C215" s="2"/>
      <c r="E215" s="2"/>
    </row>
    <row r="216" spans="3:5" ht="15">
      <c r="C216" s="2"/>
      <c r="E216" s="2"/>
    </row>
    <row r="217" spans="3:5" ht="15">
      <c r="C217" s="2"/>
      <c r="E217" s="2"/>
    </row>
    <row r="218" spans="3:5" ht="15">
      <c r="C218" s="2"/>
      <c r="E218" s="2"/>
    </row>
    <row r="219" spans="3:5" ht="15">
      <c r="C219" s="2"/>
      <c r="E219" s="2"/>
    </row>
    <row r="220" spans="3:5" ht="15">
      <c r="C220" s="2"/>
      <c r="E220" s="2"/>
    </row>
    <row r="221" spans="3:5" ht="15">
      <c r="C221" s="2"/>
      <c r="E221" s="2"/>
    </row>
    <row r="222" spans="3:5" ht="15">
      <c r="C222" s="2"/>
      <c r="E222" s="2"/>
    </row>
    <row r="223" spans="3:5" ht="15">
      <c r="C223" s="2"/>
      <c r="E223" s="2"/>
    </row>
    <row r="224" spans="3:5" ht="15">
      <c r="C224" s="2"/>
      <c r="E224" s="2"/>
    </row>
    <row r="225" spans="3:5" ht="15">
      <c r="C225" s="2"/>
      <c r="E225" s="2"/>
    </row>
    <row r="226" spans="3:5" ht="15">
      <c r="C226" s="2"/>
      <c r="E226" s="2"/>
    </row>
    <row r="227" spans="3:5" ht="15">
      <c r="C227" s="2"/>
      <c r="E227" s="2"/>
    </row>
    <row r="228" spans="3:5" ht="15">
      <c r="C228" s="2"/>
      <c r="E228" s="2"/>
    </row>
    <row r="229" spans="3:5" ht="15">
      <c r="C229" s="2"/>
      <c r="E229" s="2"/>
    </row>
    <row r="230" spans="3:5" ht="15">
      <c r="C230" s="2"/>
      <c r="E230" s="2"/>
    </row>
    <row r="231" spans="3:5" ht="15">
      <c r="C231" s="2"/>
      <c r="E231" s="2"/>
    </row>
    <row r="232" spans="3:5" ht="15">
      <c r="C232" s="2"/>
      <c r="E232" s="2"/>
    </row>
    <row r="233" spans="3:5" ht="15">
      <c r="C233" s="2"/>
      <c r="E233" s="2"/>
    </row>
    <row r="234" spans="3:5" ht="15">
      <c r="C234" s="2"/>
      <c r="E234" s="2"/>
    </row>
    <row r="235" spans="3:5" ht="15">
      <c r="C235" s="2"/>
      <c r="E235" s="2"/>
    </row>
    <row r="236" spans="3:5" ht="15">
      <c r="C236" s="2"/>
      <c r="E236" s="2"/>
    </row>
    <row r="237" spans="3:5" ht="15">
      <c r="C237" s="2"/>
      <c r="E237" s="2"/>
    </row>
    <row r="238" spans="3:5" ht="15">
      <c r="C238" s="2"/>
      <c r="E238" s="2"/>
    </row>
    <row r="239" spans="3:5" ht="15">
      <c r="C239" s="2"/>
      <c r="E239" s="2"/>
    </row>
    <row r="240" spans="3:5" ht="15">
      <c r="C240" s="2"/>
      <c r="E240" s="2"/>
    </row>
    <row r="241" spans="3:5" ht="15">
      <c r="C241" s="2"/>
      <c r="E241" s="2"/>
    </row>
    <row r="242" spans="3:5" ht="15">
      <c r="C242" s="2"/>
      <c r="E242" s="2"/>
    </row>
    <row r="243" spans="3:5" ht="15">
      <c r="C243" s="2"/>
      <c r="E243" s="2"/>
    </row>
    <row r="244" spans="3:5" ht="15">
      <c r="C244" s="2"/>
      <c r="E244" s="2"/>
    </row>
    <row r="245" spans="3:5" ht="15">
      <c r="C245" s="2"/>
      <c r="E245" s="2"/>
    </row>
    <row r="246" spans="3:5" ht="15">
      <c r="C246" s="2"/>
      <c r="E246" s="2"/>
    </row>
    <row r="247" spans="3:5" ht="15">
      <c r="C247" s="2"/>
      <c r="E247" s="2"/>
    </row>
    <row r="248" spans="3:5" ht="15">
      <c r="C248" s="2"/>
      <c r="E248" s="2"/>
    </row>
    <row r="249" spans="3:5" ht="15">
      <c r="C249" s="2"/>
      <c r="E249" s="2"/>
    </row>
    <row r="250" spans="3:5" ht="15">
      <c r="C250" s="2"/>
      <c r="E250" s="2"/>
    </row>
    <row r="251" spans="3:5" ht="15">
      <c r="C251" s="2"/>
      <c r="E251" s="2"/>
    </row>
    <row r="252" spans="3:5" ht="15">
      <c r="C252" s="2"/>
      <c r="E252" s="2"/>
    </row>
    <row r="253" spans="3:5" ht="15">
      <c r="C253" s="2"/>
      <c r="E253" s="2"/>
    </row>
    <row r="254" spans="3:5" ht="15">
      <c r="C254" s="2"/>
      <c r="E254" s="2"/>
    </row>
    <row r="255" spans="3:5" ht="15">
      <c r="C255" s="2"/>
      <c r="E255" s="2"/>
    </row>
    <row r="256" spans="3:5" ht="15">
      <c r="C256" s="2"/>
      <c r="E256" s="2"/>
    </row>
    <row r="257" spans="3:5" ht="15">
      <c r="C257" s="2"/>
      <c r="E257" s="2"/>
    </row>
    <row r="258" spans="3:5" ht="15">
      <c r="C258" s="2"/>
      <c r="E258" s="2"/>
    </row>
    <row r="259" spans="3:5" ht="15">
      <c r="C259" s="2"/>
      <c r="E259" s="2"/>
    </row>
    <row r="260" spans="3:5" ht="15">
      <c r="C260" s="2"/>
      <c r="E260" s="2"/>
    </row>
    <row r="261" spans="3:5" ht="15">
      <c r="C261" s="2"/>
      <c r="E261" s="2"/>
    </row>
    <row r="262" spans="3:5" ht="15">
      <c r="C262" s="2"/>
      <c r="E262" s="2"/>
    </row>
    <row r="263" spans="3:5" ht="15">
      <c r="C263" s="2"/>
      <c r="E263" s="2"/>
    </row>
    <row r="264" spans="3:5" ht="15">
      <c r="C264" s="2"/>
      <c r="E264" s="2"/>
    </row>
    <row r="265" spans="3:5" ht="15">
      <c r="C265" s="2"/>
      <c r="E265" s="2"/>
    </row>
    <row r="266" spans="3:5" ht="15">
      <c r="C266" s="2"/>
      <c r="E266" s="2"/>
    </row>
    <row r="267" spans="3:5" ht="15">
      <c r="C267" s="2"/>
      <c r="E267" s="2"/>
    </row>
    <row r="268" spans="3:5" ht="15">
      <c r="C268" s="2"/>
      <c r="E268" s="2"/>
    </row>
    <row r="269" spans="3:5" ht="15">
      <c r="C269" s="2"/>
      <c r="E269" s="2"/>
    </row>
    <row r="270" spans="3:5" ht="15">
      <c r="C270" s="2"/>
      <c r="E270" s="2"/>
    </row>
    <row r="271" spans="3:5" ht="15">
      <c r="C271" s="2"/>
      <c r="E271" s="2"/>
    </row>
    <row r="272" spans="3:5" ht="15">
      <c r="C272" s="2"/>
      <c r="E272" s="2"/>
    </row>
    <row r="273" spans="3:5" ht="15">
      <c r="C273" s="2"/>
      <c r="E273" s="2"/>
    </row>
    <row r="274" spans="3:5" ht="15">
      <c r="C274" s="2"/>
      <c r="E274" s="2"/>
    </row>
    <row r="275" spans="3:5" ht="15">
      <c r="C275" s="2"/>
      <c r="E275" s="2"/>
    </row>
    <row r="276" spans="3:5" ht="15">
      <c r="C276" s="2"/>
      <c r="E276" s="2"/>
    </row>
    <row r="277" spans="3:5" ht="15">
      <c r="C277" s="2"/>
      <c r="E277" s="2"/>
    </row>
    <row r="278" spans="3:5" ht="15">
      <c r="C278" s="2"/>
      <c r="E278" s="2"/>
    </row>
    <row r="279" spans="3:5" ht="15">
      <c r="C279" s="2"/>
      <c r="E279" s="2"/>
    </row>
    <row r="280" spans="3:5" ht="15">
      <c r="C280" s="2"/>
      <c r="E280" s="2"/>
    </row>
    <row r="281" spans="3:5" ht="15">
      <c r="C281" s="2"/>
      <c r="E281" s="2"/>
    </row>
    <row r="282" spans="3:5" ht="15">
      <c r="C282" s="2"/>
      <c r="E282" s="2"/>
    </row>
    <row r="283" spans="3:5" ht="15">
      <c r="C283" s="2"/>
      <c r="E283" s="2"/>
    </row>
    <row r="284" spans="3:5" ht="15">
      <c r="C284" s="2"/>
      <c r="E284" s="2"/>
    </row>
    <row r="285" spans="3:5" ht="15">
      <c r="C285" s="2"/>
      <c r="E285" s="2"/>
    </row>
    <row r="286" spans="3:5" ht="15">
      <c r="C286" s="2"/>
      <c r="E286" s="2"/>
    </row>
    <row r="287" spans="3:5" ht="15">
      <c r="C287" s="2"/>
      <c r="E287" s="2"/>
    </row>
    <row r="288" spans="3:5" ht="15">
      <c r="C288" s="2"/>
      <c r="E288" s="2"/>
    </row>
    <row r="289" spans="3:5" ht="15">
      <c r="C289" s="2"/>
      <c r="E289" s="2"/>
    </row>
    <row r="290" spans="3:5" ht="15">
      <c r="C290" s="2"/>
      <c r="E290" s="2"/>
    </row>
    <row r="291" spans="3:5" ht="15">
      <c r="C291" s="2"/>
      <c r="E291" s="2"/>
    </row>
    <row r="292" spans="3:5" ht="15">
      <c r="C292" s="2"/>
      <c r="E292" s="2"/>
    </row>
    <row r="293" spans="3:5" ht="15">
      <c r="C293" s="2"/>
      <c r="E293" s="2"/>
    </row>
    <row r="294" spans="3:5" ht="15">
      <c r="C294" s="2"/>
      <c r="E294" s="2"/>
    </row>
    <row r="295" spans="3:5" ht="15">
      <c r="C295" s="2"/>
      <c r="E295" s="2"/>
    </row>
    <row r="296" spans="3:5" ht="15">
      <c r="C296" s="2"/>
      <c r="E296" s="2"/>
    </row>
    <row r="297" spans="3:5" ht="15">
      <c r="C297" s="2"/>
      <c r="E297" s="2"/>
    </row>
    <row r="298" spans="3:5" ht="15">
      <c r="C298" s="2"/>
      <c r="E298" s="2"/>
    </row>
    <row r="299" spans="3:5" ht="15">
      <c r="C299" s="2"/>
      <c r="E299" s="2"/>
    </row>
    <row r="300" spans="3:5" ht="15">
      <c r="C300" s="2"/>
      <c r="E300" s="2"/>
    </row>
    <row r="301" spans="3:5" ht="15">
      <c r="C301" s="2"/>
      <c r="E301" s="2"/>
    </row>
    <row r="302" ht="15">
      <c r="C302" s="2"/>
    </row>
    <row r="303" ht="15">
      <c r="C303" s="2"/>
    </row>
    <row r="304" ht="15">
      <c r="C304" s="2"/>
    </row>
    <row r="305" ht="15">
      <c r="C305" s="2"/>
    </row>
    <row r="306" ht="15">
      <c r="C306" s="2"/>
    </row>
    <row r="307" ht="15">
      <c r="C307" s="2"/>
    </row>
    <row r="308" ht="15">
      <c r="C308" s="2"/>
    </row>
    <row r="309" ht="15">
      <c r="C309" s="2"/>
    </row>
    <row r="310" ht="15">
      <c r="C310" s="2"/>
    </row>
    <row r="311" ht="15">
      <c r="C311" s="2"/>
    </row>
    <row r="312" ht="15">
      <c r="C312" s="2"/>
    </row>
    <row r="313" ht="15">
      <c r="C313" s="2"/>
    </row>
    <row r="314" ht="15">
      <c r="C314" s="2"/>
    </row>
    <row r="315" ht="15">
      <c r="C315" s="2"/>
    </row>
    <row r="316" ht="15">
      <c r="C316" s="2"/>
    </row>
    <row r="317" ht="15">
      <c r="C317" s="2"/>
    </row>
    <row r="318" ht="15">
      <c r="C318" s="2"/>
    </row>
    <row r="319" ht="15">
      <c r="C319" s="2"/>
    </row>
    <row r="320" ht="15">
      <c r="C320" s="2"/>
    </row>
    <row r="321" ht="15">
      <c r="C321" s="2"/>
    </row>
    <row r="322" ht="15">
      <c r="C322" s="2"/>
    </row>
    <row r="323" ht="15">
      <c r="C323" s="2"/>
    </row>
    <row r="324" ht="15">
      <c r="C324" s="2"/>
    </row>
    <row r="325" ht="15">
      <c r="C325" s="2"/>
    </row>
    <row r="326" ht="15">
      <c r="C326" s="2"/>
    </row>
    <row r="327" ht="15">
      <c r="C327" s="2"/>
    </row>
    <row r="328" ht="15">
      <c r="C328" s="2"/>
    </row>
    <row r="329" ht="15">
      <c r="C329" s="2"/>
    </row>
    <row r="330" ht="15">
      <c r="C330" s="2"/>
    </row>
    <row r="331" ht="15">
      <c r="C331" s="2"/>
    </row>
    <row r="332" ht="15">
      <c r="C332" s="2"/>
    </row>
    <row r="333" ht="15">
      <c r="C333" s="2"/>
    </row>
    <row r="334" ht="15">
      <c r="C334" s="2"/>
    </row>
    <row r="335" ht="15">
      <c r="C335" s="2"/>
    </row>
    <row r="336" ht="15">
      <c r="C336" s="2"/>
    </row>
    <row r="337" ht="15">
      <c r="C337" s="2"/>
    </row>
    <row r="338" ht="15">
      <c r="C338" s="2"/>
    </row>
    <row r="339" ht="15">
      <c r="C339" s="2"/>
    </row>
    <row r="340" ht="15">
      <c r="C340" s="2"/>
    </row>
    <row r="341" ht="15">
      <c r="C341" s="2"/>
    </row>
    <row r="342" ht="15">
      <c r="C342" s="2"/>
    </row>
    <row r="343" ht="15">
      <c r="C343" s="2"/>
    </row>
    <row r="344" ht="15">
      <c r="C344" s="2"/>
    </row>
    <row r="345" ht="15">
      <c r="C345" s="2"/>
    </row>
    <row r="346" ht="15">
      <c r="C346" s="2"/>
    </row>
    <row r="347" ht="15">
      <c r="C347" s="2"/>
    </row>
    <row r="348" ht="15">
      <c r="C348" s="2"/>
    </row>
    <row r="349" ht="15">
      <c r="C349" s="2"/>
    </row>
    <row r="350" ht="15">
      <c r="C350" s="2"/>
    </row>
    <row r="351" ht="15">
      <c r="C351" s="2"/>
    </row>
    <row r="352" ht="15">
      <c r="C352" s="2"/>
    </row>
    <row r="353" ht="15">
      <c r="C353" s="2"/>
    </row>
    <row r="354" ht="15">
      <c r="C354" s="2"/>
    </row>
    <row r="355" ht="15">
      <c r="C355" s="2"/>
    </row>
    <row r="356" ht="15">
      <c r="C356" s="2"/>
    </row>
    <row r="357" ht="15">
      <c r="C357" s="2"/>
    </row>
    <row r="358" ht="15">
      <c r="C358" s="2"/>
    </row>
    <row r="359" ht="15">
      <c r="C359" s="2"/>
    </row>
    <row r="360" ht="15">
      <c r="C360" s="2"/>
    </row>
    <row r="361" ht="15">
      <c r="C361" s="2"/>
    </row>
    <row r="362" ht="15">
      <c r="C362" s="2"/>
    </row>
    <row r="363" ht="15">
      <c r="C363" s="2"/>
    </row>
    <row r="364" ht="15">
      <c r="C364" s="2"/>
    </row>
    <row r="365" ht="15">
      <c r="C365" s="2"/>
    </row>
    <row r="366" ht="15">
      <c r="C366" s="2"/>
    </row>
    <row r="367" ht="15">
      <c r="C367" s="2"/>
    </row>
    <row r="368" ht="15">
      <c r="C368" s="2"/>
    </row>
    <row r="369" ht="15">
      <c r="C369" s="2"/>
    </row>
    <row r="370" ht="15">
      <c r="C370" s="2"/>
    </row>
    <row r="371" ht="15">
      <c r="C371" s="2"/>
    </row>
    <row r="372" ht="15">
      <c r="C372" s="2"/>
    </row>
    <row r="373" ht="15">
      <c r="C373" s="2"/>
    </row>
    <row r="374" ht="15">
      <c r="C374" s="2"/>
    </row>
    <row r="375" ht="15">
      <c r="C375" s="2"/>
    </row>
    <row r="376" ht="15">
      <c r="C376" s="2"/>
    </row>
    <row r="377" ht="15">
      <c r="C377" s="2"/>
    </row>
    <row r="378" ht="15">
      <c r="C378" s="2"/>
    </row>
    <row r="379" ht="15">
      <c r="C379" s="2"/>
    </row>
    <row r="380" ht="15">
      <c r="C380" s="2"/>
    </row>
    <row r="381" ht="15">
      <c r="C381" s="2"/>
    </row>
    <row r="382" ht="15">
      <c r="C382" s="2"/>
    </row>
    <row r="383" ht="15">
      <c r="C383" s="2"/>
    </row>
    <row r="384" ht="15">
      <c r="C384" s="2"/>
    </row>
    <row r="385" ht="15">
      <c r="C385" s="2"/>
    </row>
    <row r="386" ht="15">
      <c r="C386" s="2"/>
    </row>
    <row r="387" ht="15">
      <c r="C387" s="2"/>
    </row>
    <row r="388" ht="15">
      <c r="C388" s="2"/>
    </row>
    <row r="389" ht="15">
      <c r="C389" s="2"/>
    </row>
    <row r="390" ht="15">
      <c r="C390" s="2"/>
    </row>
    <row r="391" ht="15">
      <c r="C391" s="2"/>
    </row>
    <row r="392" ht="15">
      <c r="C392" s="2"/>
    </row>
    <row r="393" ht="15">
      <c r="C393" s="2"/>
    </row>
    <row r="394" ht="15">
      <c r="C394" s="2"/>
    </row>
    <row r="395" ht="15">
      <c r="C395" s="2"/>
    </row>
    <row r="396" ht="15">
      <c r="C396" s="2"/>
    </row>
    <row r="397" ht="15">
      <c r="C397" s="2"/>
    </row>
    <row r="398" ht="15">
      <c r="C398" s="2"/>
    </row>
    <row r="399" ht="15">
      <c r="C399" s="2"/>
    </row>
    <row r="400" ht="15">
      <c r="C400" s="2"/>
    </row>
    <row r="401" ht="15">
      <c r="C401" s="2"/>
    </row>
    <row r="402" ht="15">
      <c r="C402" s="2"/>
    </row>
    <row r="403" ht="15">
      <c r="C403" s="2"/>
    </row>
    <row r="404" ht="15">
      <c r="C404" s="2"/>
    </row>
    <row r="405" ht="15">
      <c r="C405" s="2"/>
    </row>
    <row r="406" ht="15">
      <c r="C406" s="2"/>
    </row>
    <row r="407" ht="15">
      <c r="C407" s="2"/>
    </row>
    <row r="408" ht="15">
      <c r="C408" s="2"/>
    </row>
    <row r="409" ht="15">
      <c r="C409" s="2"/>
    </row>
    <row r="410" ht="15">
      <c r="C410" s="2"/>
    </row>
    <row r="411" ht="15">
      <c r="C411" s="2"/>
    </row>
    <row r="412" ht="15">
      <c r="C412" s="2"/>
    </row>
  </sheetData>
  <sheetProtection/>
  <printOptions/>
  <pageMargins left="0.58" right="0.3" top="0.71" bottom="0.75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Bazaren Aarhus</cp:lastModifiedBy>
  <cp:lastPrinted>2023-10-10T20:05:34Z</cp:lastPrinted>
  <dcterms:created xsi:type="dcterms:W3CDTF">2010-11-17T23:16:08Z</dcterms:created>
  <dcterms:modified xsi:type="dcterms:W3CDTF">2023-10-10T20:05:36Z</dcterms:modified>
  <cp:category/>
  <cp:version/>
  <cp:contentType/>
  <cp:contentStatus/>
</cp:coreProperties>
</file>